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Supuestos" sheetId="2" state="visible" r:id="rId4"/>
    <sheet name="Productos" sheetId="3" state="visible" r:id="rId5"/>
    <sheet name="Estacionalidad" sheetId="4" state="visible" r:id="rId6"/>
    <sheet name="Ventas y margen" sheetId="5" state="visible" r:id="rId7"/>
    <sheet name="Resultado" sheetId="6" state="visible" r:id="rId8"/>
    <sheet name="Caja" sheetId="7" state="visible" r:id="rId9"/>
    <sheet name="Control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1 = oficial, 2 = mercado, 3 = estrés</t>
        </r>
      </text>
    </comment>
    <comment ref="E16" authorId="0">
      <text>
        <r>
          <rPr>
            <sz val="10"/>
            <rFont val="Arial"/>
            <family val="2"/>
          </rPr>
          <t xml:space="preserve">Si es 1, el modelo resta el IVA de la venta.</t>
        </r>
      </text>
    </comment>
    <comment ref="E18" authorId="0">
      <text>
        <r>
          <rPr>
            <sz val="10"/>
            <rFont val="Arial"/>
            <family val="2"/>
          </rPr>
          <t xml:space="preserve">Sueldos, alquiler, sistemas, honorarios, servicios. Ejemplo.</t>
        </r>
      </text>
    </comment>
    <comment ref="E20" authorId="0">
      <text>
        <r>
          <rPr>
            <sz val="10"/>
            <rFont val="Arial"/>
            <family val="2"/>
          </rPr>
          <t xml:space="preserve">Ejemplo.</t>
        </r>
      </text>
    </comment>
    <comment ref="E21" authorId="0">
      <text>
        <r>
          <rPr>
            <sz val="10"/>
            <rFont val="Arial"/>
            <family val="2"/>
          </rPr>
          <t xml:space="preserve">0 = la pagás el mes que la vendés. 2 = la pagás dos meses antes (importados, Full).</t>
        </r>
      </text>
    </comment>
  </commentList>
</comments>
</file>

<file path=xl/sharedStrings.xml><?xml version="1.0" encoding="utf-8"?>
<sst xmlns="http://schemas.openxmlformats.org/spreadsheetml/2006/main" count="265" uniqueCount="135">
  <si>
    <t xml:space="preserve">Presupuesto 2027 · Mercado Libre</t>
  </si>
  <si>
    <t xml:space="preserve">Plantilla de Asert (asert.ar) para armar el presupuesto 2027 de un negocio que vende en Mercado Libre.</t>
  </si>
  <si>
    <t xml:space="preserve">Cómo usarla</t>
  </si>
  <si>
    <t xml:space="preserve">1. En «Supuestos», elegí el escenario (1, 2 o 3) y revisá las celdas amarillas.</t>
  </si>
  <si>
    <t xml:space="preserve">2. En «Productos», reemplazá los tres productos de ejemplo por tus familias de producto (hasta 8 filas).</t>
  </si>
  <si>
    <t xml:space="preserve">3. En «Estacionalidad», cargá tu índice por mes. Si no tenés historia, dejá el de referencia.</t>
  </si>
  <si>
    <t xml:space="preserve">4. «Ventas y margen», «Resultado» y «Caja» se calculan solos. No hace falta tocarlos.</t>
  </si>
  <si>
    <t xml:space="preserve">5. Cada mes, cargá lo ejecutado en «Control» y mirá el desvío.</t>
  </si>
  <si>
    <t xml:space="preserve">Colores</t>
  </si>
  <si>
    <t xml:space="preserve">Texto azul con fondo amarillo: datos que cargás vos.</t>
  </si>
  <si>
    <t xml:space="preserve">Texto negro: fórmulas.</t>
  </si>
  <si>
    <t xml:space="preserve">Texto verde: valores que vienen de otra hoja.</t>
  </si>
  <si>
    <t xml:space="preserve">Simplificaciones del modelo</t>
  </si>
  <si>
    <t xml:space="preserve">- Los precios y la venta se cargan con IVA (precio final). Si sos responsable inscripto, el modelo resta el IVA de la venta; cargá los costos sin IVA.</t>
  </si>
  <si>
    <t xml:space="preserve">- Mercado Libre descuenta comisión, envío y cuotas al cobrar: en la caja se restan el mismo mes de la venta.</t>
  </si>
  <si>
    <t xml:space="preserve">- No incluye liquidación de IVA, Ganancias ni financiación. Agregalas si las necesitás.</t>
  </si>
  <si>
    <t xml:space="preserve">- Los supuestos de inflación y dólar son referencias públicas a octubre de 2026. Actualizalos.</t>
  </si>
  <si>
    <t xml:space="preserve">Para armarlo con tus datos o hacer el control mensual: asert.ar/articulos/servicios/presupuesto-2027/</t>
  </si>
  <si>
    <t xml:space="preserve">Supuestos 2027</t>
  </si>
  <si>
    <t xml:space="preserve">Escenario elegido (1, 2 o 3)</t>
  </si>
  <si>
    <t xml:space="preserve">Supuesto</t>
  </si>
  <si>
    <t xml:space="preserve">1. Oficial</t>
  </si>
  <si>
    <t xml:space="preserve">2. Mercado</t>
  </si>
  <si>
    <t xml:space="preserve">3. Estrés</t>
  </si>
  <si>
    <t xml:space="preserve">En uso</t>
  </si>
  <si>
    <t xml:space="preserve">Fuente</t>
  </si>
  <si>
    <t xml:space="preserve">Inflación dic-27 vs dic-26</t>
  </si>
  <si>
    <t xml:space="preserve">1: Proyecto de Presupuesto 2027 (sep-2026). 2: REM BCRA, encuesta de septiembre 2026 (publicada 6/10/2026). 3: supuesto propio, inflación similar a 2026.</t>
  </si>
  <si>
    <t xml:space="preserve">Dólar oficial dic-26 ($)</t>
  </si>
  <si>
    <t xml:space="preserve">1: Presupuesto 2027. 2 y 3: REM BCRA septiembre 2026, mediana para diciembre 2026.</t>
  </si>
  <si>
    <t xml:space="preserve">Dólar oficial dic-27 ($)</t>
  </si>
  <si>
    <t xml:space="preserve">1: Presupuesto 2027. 2: estimación propia que extiende a diciembre el valor del REM a 12 meses ($1.945 a sep-27). 3: supuesto propio (suba de 49%).</t>
  </si>
  <si>
    <t xml:space="preserve">Ajuste de unidades por escenario</t>
  </si>
  <si>
    <t xml:space="preserve">Se suma al crecimiento de cada producto. Supuesto propio: el consumo no acompaña en los escenarios 2 y 3.</t>
  </si>
  <si>
    <t xml:space="preserve">Traslado de la inflación a tus precios</t>
  </si>
  <si>
    <t xml:space="preserve">Qué parte de la inflación podés pasar al precio. 90% = el mercado no convalida toda la suba.</t>
  </si>
  <si>
    <t xml:space="preserve">Inflación mensual equivalente</t>
  </si>
  <si>
    <t xml:space="preserve">Suba mensual equivalente del dólar</t>
  </si>
  <si>
    <t xml:space="preserve">Datos del negocio</t>
  </si>
  <si>
    <t xml:space="preserve">¿Sos responsable inscripto? (1 = sí, 0 = no)</t>
  </si>
  <si>
    <t xml:space="preserve">Alícuota de IVA de tus productos</t>
  </si>
  <si>
    <t xml:space="preserve">Gastos fijos mensuales a dic-26 ($)</t>
  </si>
  <si>
    <t xml:space="preserve">Parte de los fijos que sigue a la inflación</t>
  </si>
  <si>
    <t xml:space="preserve">Saldo de caja al 1/1/2027 ($)</t>
  </si>
  <si>
    <t xml:space="preserve">Meses que pagás la mercadería antes de venderla</t>
  </si>
  <si>
    <t xml:space="preserve">Productos o familias de producto</t>
  </si>
  <si>
    <t xml:space="preserve">Reemplazá los ejemplos. Precios con IVA; costos sin IVA si sos responsable inscripto.</t>
  </si>
  <si>
    <t xml:space="preserve">Producto o familia</t>
  </si>
  <si>
    <t xml:space="preserve">Unidades por mes (prom. 2026)</t>
  </si>
  <si>
    <t xml:space="preserve">Precio final dic-26 ($)</t>
  </si>
  <si>
    <t xml:space="preserve">Costo unitario dic-26 ($)</t>
  </si>
  <si>
    <t xml:space="preserve">Parte del costo en dólares</t>
  </si>
  <si>
    <t xml:space="preserve">Comisión (% del precio)</t>
  </si>
  <si>
    <t xml:space="preserve">Cargo fijo por unidad ($)</t>
  </si>
  <si>
    <t xml:space="preserve">Envío por unidad ($)</t>
  </si>
  <si>
    <t xml:space="preserve">Costo de cuotas (% del precio)</t>
  </si>
  <si>
    <t xml:space="preserve">Publicidad (ACOS, % del precio)</t>
  </si>
  <si>
    <t xml:space="preserve">Ingresos Brutos (% de la venta neta)</t>
  </si>
  <si>
    <t xml:space="preserve">Crecimiento de unidades 2027</t>
  </si>
  <si>
    <t xml:space="preserve">Ejemplo: producto importado</t>
  </si>
  <si>
    <t xml:space="preserve">Ejemplo: producto nacional</t>
  </si>
  <si>
    <t xml:space="preserve">Ejemplo: accesorio</t>
  </si>
  <si>
    <t xml:space="preserve">Índice de estacionalidad</t>
  </si>
  <si>
    <t xml:space="preserve">Venta del mes dividida por el promedio mensual del año. Un mes promedio vale 1,00. Calculalo con tus ventas en unidades de 2025 y 2026.</t>
  </si>
  <si>
    <t xml:space="preserve">Mes</t>
  </si>
  <si>
    <t xml:space="preserve">Índice</t>
  </si>
  <si>
    <t xml:space="preserve">Qué pasa en ese mes</t>
  </si>
  <si>
    <t xml:space="preserve">ene-27</t>
  </si>
  <si>
    <t xml:space="preserve">Vacaciones. Vuelta a clases desde la segunda quincena.</t>
  </si>
  <si>
    <t xml:space="preserve">feb-27</t>
  </si>
  <si>
    <t xml:space="preserve">Vuelta a clases. San Valentín.</t>
  </si>
  <si>
    <t xml:space="preserve">mar-27</t>
  </si>
  <si>
    <t xml:space="preserve">abr-27</t>
  </si>
  <si>
    <t xml:space="preserve">may-27</t>
  </si>
  <si>
    <t xml:space="preserve">Hot Sale (fecha a confirmar por CACE).</t>
  </si>
  <si>
    <t xml:space="preserve">jun-27</t>
  </si>
  <si>
    <t xml:space="preserve">Día del Padre. Aguinaldo.</t>
  </si>
  <si>
    <t xml:space="preserve">jul-27</t>
  </si>
  <si>
    <t xml:space="preserve">Vacaciones de invierno. Día del Amigo.</t>
  </si>
  <si>
    <t xml:space="preserve">ago-27</t>
  </si>
  <si>
    <t xml:space="preserve">Día del Niño.</t>
  </si>
  <si>
    <t xml:space="preserve">sep-27</t>
  </si>
  <si>
    <t xml:space="preserve">oct-27</t>
  </si>
  <si>
    <t xml:space="preserve">Día de la Madre.</t>
  </si>
  <si>
    <t xml:space="preserve">nov-27</t>
  </si>
  <si>
    <t xml:space="preserve">CyberMonday, 11.11 y Black Friday. Elecciones presidenciales.</t>
  </si>
  <si>
    <t xml:space="preserve">dic-27</t>
  </si>
  <si>
    <t xml:space="preserve">12.12, Navidad. Aguinaldo.</t>
  </si>
  <si>
    <t xml:space="preserve">Suma (debería dar 12)</t>
  </si>
  <si>
    <t xml:space="preserve">Ventas y margen por producto</t>
  </si>
  <si>
    <t xml:space="preserve">Concepto</t>
  </si>
  <si>
    <t xml:space="preserve">Producto</t>
  </si>
  <si>
    <t xml:space="preserve">Total 2027</t>
  </si>
  <si>
    <t xml:space="preserve">Mes número</t>
  </si>
  <si>
    <t xml:space="preserve">Unidades</t>
  </si>
  <si>
    <t xml:space="preserve">Precio final ($)</t>
  </si>
  <si>
    <t xml:space="preserve">Venta con IVA ($)</t>
  </si>
  <si>
    <t xml:space="preserve">Costo unitario ($)</t>
  </si>
  <si>
    <t xml:space="preserve">Contribución unitaria ($)</t>
  </si>
  <si>
    <t xml:space="preserve">Contribución total ($)</t>
  </si>
  <si>
    <t xml:space="preserve">Margen de contribución (% de la venta)</t>
  </si>
  <si>
    <t xml:space="preserve">Cargos de Mercado Libre y publicidad ($)</t>
  </si>
  <si>
    <t xml:space="preserve">Costo de la mercadería vendida ($)</t>
  </si>
  <si>
    <t xml:space="preserve">Estado de resultados 2027 (contribución)</t>
  </si>
  <si>
    <t xml:space="preserve">Venta con IVA</t>
  </si>
  <si>
    <t xml:space="preserve">IVA de la venta</t>
  </si>
  <si>
    <t xml:space="preserve">Venta neta</t>
  </si>
  <si>
    <t xml:space="preserve">Costo de la mercadería</t>
  </si>
  <si>
    <t xml:space="preserve">Cargos de Mercado Libre y publicidad</t>
  </si>
  <si>
    <t xml:space="preserve">Ingresos Brutos</t>
  </si>
  <si>
    <t xml:space="preserve">Contribución</t>
  </si>
  <si>
    <t xml:space="preserve">Margen de contribución (%)</t>
  </si>
  <si>
    <t xml:space="preserve">Gastos fijos</t>
  </si>
  <si>
    <t xml:space="preserve">Resultado operativo</t>
  </si>
  <si>
    <t xml:space="preserve">Resultado (% de la venta neta)</t>
  </si>
  <si>
    <t xml:space="preserve">Ingresos Brutos sale por diferencia: venta neta menos contribución menos los demás costos.</t>
  </si>
  <si>
    <t xml:space="preserve">Caja 2027</t>
  </si>
  <si>
    <t xml:space="preserve">Saldo inicial</t>
  </si>
  <si>
    <t xml:space="preserve">Cobros (venta con IVA)</t>
  </si>
  <si>
    <t xml:space="preserve">Pago de mercadería (con IVA si sos RI)</t>
  </si>
  <si>
    <t xml:space="preserve">IVA a pagar (aproximado)</t>
  </si>
  <si>
    <t xml:space="preserve">Saldo final</t>
  </si>
  <si>
    <t xml:space="preserve">Saldo mínimo del año</t>
  </si>
  <si>
    <t xml:space="preserve">Si el saldo mínimo es negativo, ese es el financiamiento que vas a necesitar. Revisá en qué mes aparece.</t>
  </si>
  <si>
    <t xml:space="preserve">Pago de mercadería: el costo de lo que se vende N meses después (N en Supuestos). Después de diciembre se estima con el costo de diciembre más inflación.</t>
  </si>
  <si>
    <t xml:space="preserve">IVA a pagar: débito de la venta menos el crédito de la mercadería vendida y de los cargos de Mercado Libre. Es una aproximación: no considera saldos a favor ni percepciones.</t>
  </si>
  <si>
    <t xml:space="preserve">Control mensual: presupuesto contra ejecutado</t>
  </si>
  <si>
    <t xml:space="preserve">Cargá lo ejecutado al cierre de cada mes. Mirá el desvío y explicalo: ¿precio, unidades o mezcla de productos?</t>
  </si>
  <si>
    <t xml:space="preserve">Venta presupuestada</t>
  </si>
  <si>
    <t xml:space="preserve">Venta ejecutada</t>
  </si>
  <si>
    <t xml:space="preserve">Desvío ($)</t>
  </si>
  <si>
    <t xml:space="preserve">Desvío (%)</t>
  </si>
  <si>
    <t xml:space="preserve">Contribución presupuestada</t>
  </si>
  <si>
    <t xml:space="preserve">Contribución ejecutada</t>
  </si>
  <si>
    <t xml:space="preserve">Qué pasó y qué decidimos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</si>
</sst>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%;\(0.0%\);\-"/>
    <numFmt numFmtId="167" formatCode="\$#,##0;&quot;($&quot;#,##0\);\-"/>
    <numFmt numFmtId="168" formatCode="0.00%"/>
    <numFmt numFmtId="169" formatCode="#,##0;\(#,##0\);\-"/>
    <numFmt numFmtId="170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3253A"/>
      <name val="Arial"/>
      <family val="0"/>
      <charset val="1"/>
    </font>
    <font>
      <sz val="11"/>
      <color theme="1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3253A"/>
        <bgColor rgb="FF003366"/>
      </patternFill>
    </fill>
    <fill>
      <patternFill patternType="solid">
        <fgColor rgb="FFF2F2F2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325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8</v>
      </c>
    </row>
    <row r="13" customFormat="false" ht="15" hidden="false" customHeight="false" outlineLevel="0" collapsed="false">
      <c r="A13" s="5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6" t="s">
        <v>11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4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3"/>
    </row>
    <row r="23" customFormat="false" ht="15" hidden="false" customHeight="false" outlineLevel="0" collapsed="false">
      <c r="A23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4"/>
    <col collapsed="false" customWidth="true" hidden="false" outlineLevel="0" max="6" min="6" style="0" width="70"/>
  </cols>
  <sheetData>
    <row r="1" customFormat="false" ht="17.35" hidden="false" customHeight="false" outlineLevel="0" collapsed="false">
      <c r="A1" s="1" t="s">
        <v>18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19</v>
      </c>
      <c r="B3" s="7" t="n">
        <v>2</v>
      </c>
      <c r="C3" s="2"/>
      <c r="D3" s="2"/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15" hidden="false" customHeight="false" outlineLevel="0" collapsed="false">
      <c r="A5" s="8" t="s">
        <v>20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</row>
    <row r="6" customFormat="false" ht="42" hidden="false" customHeight="true" outlineLevel="0" collapsed="false">
      <c r="A6" s="2" t="s">
        <v>26</v>
      </c>
      <c r="B6" s="9" t="n">
        <v>0.18</v>
      </c>
      <c r="C6" s="9" t="n">
        <v>0.212</v>
      </c>
      <c r="D6" s="9" t="n">
        <v>0.3</v>
      </c>
      <c r="E6" s="10" t="n">
        <f aca="false">INDEX(B6:D6,$B$3)</f>
        <v>0.212</v>
      </c>
      <c r="F6" s="11" t="s">
        <v>27</v>
      </c>
    </row>
    <row r="7" customFormat="false" ht="42" hidden="false" customHeight="true" outlineLevel="0" collapsed="false">
      <c r="A7" s="2" t="s">
        <v>28</v>
      </c>
      <c r="B7" s="12" t="n">
        <v>1600</v>
      </c>
      <c r="C7" s="12" t="n">
        <v>1614</v>
      </c>
      <c r="D7" s="12" t="n">
        <v>1614</v>
      </c>
      <c r="E7" s="13" t="n">
        <f aca="false">INDEX(B7:D7,$B$3)</f>
        <v>1614</v>
      </c>
      <c r="F7" s="11" t="s">
        <v>29</v>
      </c>
    </row>
    <row r="8" customFormat="false" ht="42" hidden="false" customHeight="true" outlineLevel="0" collapsed="false">
      <c r="A8" s="2" t="s">
        <v>30</v>
      </c>
      <c r="B8" s="12" t="n">
        <v>1847.6</v>
      </c>
      <c r="C8" s="12" t="n">
        <v>2000</v>
      </c>
      <c r="D8" s="12" t="n">
        <v>2400</v>
      </c>
      <c r="E8" s="13" t="n">
        <f aca="false">INDEX(B8:D8,$B$3)</f>
        <v>2000</v>
      </c>
      <c r="F8" s="11" t="s">
        <v>31</v>
      </c>
    </row>
    <row r="9" customFormat="false" ht="42" hidden="false" customHeight="true" outlineLevel="0" collapsed="false">
      <c r="A9" s="2" t="s">
        <v>32</v>
      </c>
      <c r="B9" s="9" t="n">
        <v>0</v>
      </c>
      <c r="C9" s="9" t="n">
        <v>-0.03</v>
      </c>
      <c r="D9" s="9" t="n">
        <v>-0.1</v>
      </c>
      <c r="E9" s="10" t="n">
        <f aca="false">INDEX(B9:D9,$B$3)</f>
        <v>-0.03</v>
      </c>
      <c r="F9" s="11" t="s">
        <v>33</v>
      </c>
    </row>
    <row r="10" customFormat="false" ht="42" hidden="false" customHeight="true" outlineLevel="0" collapsed="false">
      <c r="A10" s="2" t="s">
        <v>34</v>
      </c>
      <c r="B10" s="9" t="n">
        <v>1</v>
      </c>
      <c r="C10" s="9" t="n">
        <v>1</v>
      </c>
      <c r="D10" s="9" t="n">
        <v>0.9</v>
      </c>
      <c r="E10" s="10" t="n">
        <f aca="false">INDEX(B10:D10,$B$3)</f>
        <v>1</v>
      </c>
      <c r="F10" s="11" t="s">
        <v>35</v>
      </c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</row>
    <row r="12" customFormat="false" ht="15" hidden="false" customHeight="false" outlineLevel="0" collapsed="false">
      <c r="A12" s="2" t="s">
        <v>36</v>
      </c>
      <c r="B12" s="2"/>
      <c r="C12" s="2"/>
      <c r="D12" s="2"/>
      <c r="E12" s="14" t="n">
        <f aca="false">(1+E6)^(1/12)-1</f>
        <v>0.0161517084033673</v>
      </c>
      <c r="F12" s="2"/>
    </row>
    <row r="13" customFormat="false" ht="15" hidden="false" customHeight="false" outlineLevel="0" collapsed="false">
      <c r="A13" s="2" t="s">
        <v>37</v>
      </c>
      <c r="B13" s="2"/>
      <c r="C13" s="2"/>
      <c r="D13" s="2"/>
      <c r="E13" s="14" t="n">
        <f aca="false">(E8/E7)^(1/12)-1</f>
        <v>0.0180299120935574</v>
      </c>
      <c r="F13" s="2"/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</row>
    <row r="15" customFormat="false" ht="15" hidden="false" customHeight="false" outlineLevel="0" collapsed="false">
      <c r="A15" s="4" t="s">
        <v>38</v>
      </c>
      <c r="B15" s="2"/>
      <c r="C15" s="2"/>
      <c r="D15" s="2"/>
      <c r="E15" s="2"/>
      <c r="F15" s="2"/>
    </row>
    <row r="16" customFormat="false" ht="15" hidden="false" customHeight="false" outlineLevel="0" collapsed="false">
      <c r="A16" s="2" t="s">
        <v>39</v>
      </c>
      <c r="B16" s="2"/>
      <c r="C16" s="2"/>
      <c r="D16" s="2"/>
      <c r="E16" s="7" t="n">
        <v>1</v>
      </c>
      <c r="F16" s="2"/>
    </row>
    <row r="17" customFormat="false" ht="15" hidden="false" customHeight="false" outlineLevel="0" collapsed="false">
      <c r="A17" s="2" t="s">
        <v>40</v>
      </c>
      <c r="B17" s="2"/>
      <c r="C17" s="2"/>
      <c r="D17" s="2"/>
      <c r="E17" s="9" t="n">
        <v>0.21</v>
      </c>
      <c r="F17" s="2"/>
    </row>
    <row r="18" customFormat="false" ht="15" hidden="false" customHeight="false" outlineLevel="0" collapsed="false">
      <c r="A18" s="2" t="s">
        <v>41</v>
      </c>
      <c r="B18" s="2"/>
      <c r="C18" s="2"/>
      <c r="D18" s="2"/>
      <c r="E18" s="12" t="n">
        <v>3000000</v>
      </c>
      <c r="F18" s="2"/>
    </row>
    <row r="19" customFormat="false" ht="15" hidden="false" customHeight="false" outlineLevel="0" collapsed="false">
      <c r="A19" s="2" t="s">
        <v>42</v>
      </c>
      <c r="B19" s="2"/>
      <c r="C19" s="2"/>
      <c r="D19" s="2"/>
      <c r="E19" s="9" t="n">
        <v>1</v>
      </c>
      <c r="F19" s="2"/>
    </row>
    <row r="20" customFormat="false" ht="15" hidden="false" customHeight="false" outlineLevel="0" collapsed="false">
      <c r="A20" s="2" t="s">
        <v>43</v>
      </c>
      <c r="B20" s="2"/>
      <c r="C20" s="2"/>
      <c r="D20" s="2"/>
      <c r="E20" s="12" t="n">
        <v>5000000</v>
      </c>
      <c r="F20" s="2"/>
    </row>
    <row r="21" customFormat="false" ht="15" hidden="false" customHeight="false" outlineLevel="0" collapsed="false">
      <c r="A21" s="2" t="s">
        <v>44</v>
      </c>
      <c r="B21" s="2"/>
      <c r="C21" s="2"/>
      <c r="D21" s="2"/>
      <c r="E21" s="7" t="n">
        <v>1</v>
      </c>
      <c r="F21" s="2"/>
    </row>
  </sheetData>
  <dataValidations count="1">
    <dataValidation allowBlank="false" errorStyle="stop" operator="between" showDropDown="false" showErrorMessage="false" showInputMessage="false" sqref="B3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2" min="2" style="0" width="15"/>
  </cols>
  <sheetData>
    <row r="1" customFormat="false" ht="17.35" hidden="false" customHeight="false" outlineLevel="0" collapsed="false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57.75" hidden="false" customHeight="true" outlineLevel="0" collapsed="false">
      <c r="A4" s="8" t="s">
        <v>47</v>
      </c>
      <c r="B4" s="8" t="s">
        <v>48</v>
      </c>
      <c r="C4" s="8" t="s">
        <v>49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8" t="s">
        <v>55</v>
      </c>
      <c r="J4" s="8" t="s">
        <v>56</v>
      </c>
      <c r="K4" s="8" t="s">
        <v>57</v>
      </c>
      <c r="L4" s="8" t="s">
        <v>58</v>
      </c>
    </row>
    <row r="5" customFormat="false" ht="15" hidden="false" customHeight="false" outlineLevel="0" collapsed="false">
      <c r="A5" s="5" t="s">
        <v>59</v>
      </c>
      <c r="B5" s="15" t="n">
        <v>300</v>
      </c>
      <c r="C5" s="12" t="n">
        <v>60000</v>
      </c>
      <c r="D5" s="12" t="n">
        <v>18000</v>
      </c>
      <c r="E5" s="9" t="n">
        <v>0.9</v>
      </c>
      <c r="F5" s="9" t="n">
        <v>0.14</v>
      </c>
      <c r="G5" s="12" t="n">
        <v>0</v>
      </c>
      <c r="H5" s="12" t="n">
        <v>6500</v>
      </c>
      <c r="I5" s="9" t="n">
        <v>0.06</v>
      </c>
      <c r="J5" s="9" t="n">
        <v>0.05</v>
      </c>
      <c r="K5" s="9" t="n">
        <v>0.035</v>
      </c>
      <c r="L5" s="9" t="n">
        <v>0.05</v>
      </c>
    </row>
    <row r="6" customFormat="false" ht="15" hidden="false" customHeight="false" outlineLevel="0" collapsed="false">
      <c r="A6" s="5" t="s">
        <v>60</v>
      </c>
      <c r="B6" s="15" t="n">
        <v>500</v>
      </c>
      <c r="C6" s="12" t="n">
        <v>28000</v>
      </c>
      <c r="D6" s="12" t="n">
        <v>9000</v>
      </c>
      <c r="E6" s="9" t="n">
        <v>0.2</v>
      </c>
      <c r="F6" s="9" t="n">
        <v>0.14</v>
      </c>
      <c r="G6" s="12" t="n">
        <v>0</v>
      </c>
      <c r="H6" s="12" t="n">
        <v>5200</v>
      </c>
      <c r="I6" s="9" t="n">
        <v>0</v>
      </c>
      <c r="J6" s="9" t="n">
        <v>0.05</v>
      </c>
      <c r="K6" s="9" t="n">
        <v>0.035</v>
      </c>
      <c r="L6" s="9" t="n">
        <v>0</v>
      </c>
    </row>
    <row r="7" customFormat="false" ht="15" hidden="false" customHeight="false" outlineLevel="0" collapsed="false">
      <c r="A7" s="5" t="s">
        <v>61</v>
      </c>
      <c r="B7" s="15" t="n">
        <v>800</v>
      </c>
      <c r="C7" s="12" t="n">
        <v>12000</v>
      </c>
      <c r="D7" s="12" t="n">
        <v>3000</v>
      </c>
      <c r="E7" s="9" t="n">
        <v>0.6</v>
      </c>
      <c r="F7" s="9" t="n">
        <v>0.15</v>
      </c>
      <c r="G7" s="12" t="n">
        <v>1200</v>
      </c>
      <c r="H7" s="12" t="n">
        <v>0</v>
      </c>
      <c r="I7" s="9" t="n">
        <v>0</v>
      </c>
      <c r="J7" s="9" t="n">
        <v>0.04</v>
      </c>
      <c r="K7" s="9" t="n">
        <v>0.035</v>
      </c>
      <c r="L7" s="9" t="n">
        <v>0.1</v>
      </c>
    </row>
    <row r="8" customFormat="false" ht="15" hidden="false" customHeight="false" outlineLevel="0" collapsed="false">
      <c r="A8" s="5"/>
      <c r="B8" s="15"/>
      <c r="C8" s="12"/>
      <c r="D8" s="12"/>
      <c r="E8" s="9"/>
      <c r="F8" s="9"/>
      <c r="G8" s="12"/>
      <c r="H8" s="12"/>
      <c r="I8" s="9"/>
      <c r="J8" s="9"/>
      <c r="K8" s="9"/>
      <c r="L8" s="9"/>
    </row>
    <row r="9" customFormat="false" ht="15" hidden="false" customHeight="false" outlineLevel="0" collapsed="false">
      <c r="A9" s="5"/>
      <c r="B9" s="15"/>
      <c r="C9" s="12"/>
      <c r="D9" s="12"/>
      <c r="E9" s="9"/>
      <c r="F9" s="9"/>
      <c r="G9" s="12"/>
      <c r="H9" s="12"/>
      <c r="I9" s="9"/>
      <c r="J9" s="9"/>
      <c r="K9" s="9"/>
      <c r="L9" s="9"/>
    </row>
    <row r="10" customFormat="false" ht="15" hidden="false" customHeight="false" outlineLevel="0" collapsed="false">
      <c r="A10" s="5"/>
      <c r="B10" s="15"/>
      <c r="C10" s="12"/>
      <c r="D10" s="12"/>
      <c r="E10" s="9"/>
      <c r="F10" s="9"/>
      <c r="G10" s="12"/>
      <c r="H10" s="12"/>
      <c r="I10" s="9"/>
      <c r="J10" s="9"/>
      <c r="K10" s="9"/>
      <c r="L10" s="9"/>
    </row>
    <row r="11" customFormat="false" ht="15" hidden="false" customHeight="false" outlineLevel="0" collapsed="false">
      <c r="A11" s="5"/>
      <c r="B11" s="15"/>
      <c r="C11" s="12"/>
      <c r="D11" s="12"/>
      <c r="E11" s="9"/>
      <c r="F11" s="9"/>
      <c r="G11" s="12"/>
      <c r="H11" s="12"/>
      <c r="I11" s="9"/>
      <c r="J11" s="9"/>
      <c r="K11" s="9"/>
      <c r="L11" s="9"/>
    </row>
    <row r="12" customFormat="false" ht="15" hidden="false" customHeight="false" outlineLevel="0" collapsed="false">
      <c r="A12" s="5"/>
      <c r="B12" s="15"/>
      <c r="C12" s="12"/>
      <c r="D12" s="12"/>
      <c r="E12" s="9"/>
      <c r="F12" s="9"/>
      <c r="G12" s="12"/>
      <c r="H12" s="12"/>
      <c r="I12" s="9"/>
      <c r="J12" s="9"/>
      <c r="K12" s="9"/>
      <c r="L12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62</v>
      </c>
      <c r="B1" s="2"/>
      <c r="C1" s="2"/>
    </row>
    <row r="2" customFormat="false" ht="15" hidden="false" customHeight="false" outlineLevel="0" collapsed="false">
      <c r="A2" s="2" t="s">
        <v>63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8" t="s">
        <v>64</v>
      </c>
      <c r="B4" s="8" t="s">
        <v>65</v>
      </c>
      <c r="C4" s="8" t="s">
        <v>66</v>
      </c>
    </row>
    <row r="5" customFormat="false" ht="15" hidden="false" customHeight="false" outlineLevel="0" collapsed="false">
      <c r="A5" s="2" t="s">
        <v>67</v>
      </c>
      <c r="B5" s="16" t="n">
        <v>0.85</v>
      </c>
      <c r="C5" s="2" t="s">
        <v>68</v>
      </c>
    </row>
    <row r="6" customFormat="false" ht="15" hidden="false" customHeight="false" outlineLevel="0" collapsed="false">
      <c r="A6" s="2" t="s">
        <v>69</v>
      </c>
      <c r="B6" s="16" t="n">
        <v>0.85</v>
      </c>
      <c r="C6" s="2" t="s">
        <v>70</v>
      </c>
    </row>
    <row r="7" customFormat="false" ht="15" hidden="false" customHeight="false" outlineLevel="0" collapsed="false">
      <c r="A7" s="2" t="s">
        <v>71</v>
      </c>
      <c r="B7" s="16" t="n">
        <v>0.95</v>
      </c>
      <c r="C7" s="2"/>
    </row>
    <row r="8" customFormat="false" ht="15" hidden="false" customHeight="false" outlineLevel="0" collapsed="false">
      <c r="A8" s="2" t="s">
        <v>72</v>
      </c>
      <c r="B8" s="16" t="n">
        <v>0.95</v>
      </c>
      <c r="C8" s="2"/>
    </row>
    <row r="9" customFormat="false" ht="15" hidden="false" customHeight="false" outlineLevel="0" collapsed="false">
      <c r="A9" s="2" t="s">
        <v>73</v>
      </c>
      <c r="B9" s="16" t="n">
        <v>1.1</v>
      </c>
      <c r="C9" s="2" t="s">
        <v>74</v>
      </c>
    </row>
    <row r="10" customFormat="false" ht="15" hidden="false" customHeight="false" outlineLevel="0" collapsed="false">
      <c r="A10" s="2" t="s">
        <v>75</v>
      </c>
      <c r="B10" s="16" t="n">
        <v>1</v>
      </c>
      <c r="C10" s="2" t="s">
        <v>76</v>
      </c>
    </row>
    <row r="11" customFormat="false" ht="15" hidden="false" customHeight="false" outlineLevel="0" collapsed="false">
      <c r="A11" s="2" t="s">
        <v>77</v>
      </c>
      <c r="B11" s="16" t="n">
        <v>0.95</v>
      </c>
      <c r="C11" s="2" t="s">
        <v>78</v>
      </c>
    </row>
    <row r="12" customFormat="false" ht="15" hidden="false" customHeight="false" outlineLevel="0" collapsed="false">
      <c r="A12" s="2" t="s">
        <v>79</v>
      </c>
      <c r="B12" s="16" t="n">
        <v>1</v>
      </c>
      <c r="C12" s="2" t="s">
        <v>80</v>
      </c>
    </row>
    <row r="13" customFormat="false" ht="15" hidden="false" customHeight="false" outlineLevel="0" collapsed="false">
      <c r="A13" s="2" t="s">
        <v>81</v>
      </c>
      <c r="B13" s="16" t="n">
        <v>0.95</v>
      </c>
      <c r="C13" s="2"/>
    </row>
    <row r="14" customFormat="false" ht="15" hidden="false" customHeight="false" outlineLevel="0" collapsed="false">
      <c r="A14" s="2" t="s">
        <v>82</v>
      </c>
      <c r="B14" s="16" t="n">
        <v>1.05</v>
      </c>
      <c r="C14" s="2" t="s">
        <v>83</v>
      </c>
    </row>
    <row r="15" customFormat="false" ht="15" hidden="false" customHeight="false" outlineLevel="0" collapsed="false">
      <c r="A15" s="2" t="s">
        <v>84</v>
      </c>
      <c r="B15" s="16" t="n">
        <v>1.2</v>
      </c>
      <c r="C15" s="2" t="s">
        <v>85</v>
      </c>
    </row>
    <row r="16" customFormat="false" ht="15" hidden="false" customHeight="false" outlineLevel="0" collapsed="false">
      <c r="A16" s="2" t="s">
        <v>86</v>
      </c>
      <c r="B16" s="16" t="n">
        <v>1.15</v>
      </c>
      <c r="C16" s="2" t="s">
        <v>87</v>
      </c>
    </row>
    <row r="17" customFormat="false" ht="15" hidden="false" customHeight="false" outlineLevel="0" collapsed="false">
      <c r="A17" s="2" t="s">
        <v>88</v>
      </c>
      <c r="B17" s="17" t="n">
        <f aca="false">SUM(B5:B16)</f>
        <v>12</v>
      </c>
      <c r="C1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  <col collapsed="false" customWidth="true" hidden="false" outlineLevel="0" max="15" min="3" style="0" width="13"/>
  </cols>
  <sheetData>
    <row r="1" customFormat="false" ht="17.35" hidden="false" customHeight="false" outlineLevel="0" collapsed="false">
      <c r="A1" s="1" t="s">
        <v>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5" hidden="false" customHeight="false" outlineLevel="0" collapsed="false">
      <c r="A3" s="8" t="s">
        <v>90</v>
      </c>
      <c r="B3" s="8" t="s">
        <v>91</v>
      </c>
      <c r="C3" s="8" t="s">
        <v>67</v>
      </c>
      <c r="D3" s="8" t="s">
        <v>69</v>
      </c>
      <c r="E3" s="8" t="s">
        <v>71</v>
      </c>
      <c r="F3" s="8" t="s">
        <v>72</v>
      </c>
      <c r="G3" s="8" t="s">
        <v>73</v>
      </c>
      <c r="H3" s="8" t="s">
        <v>75</v>
      </c>
      <c r="I3" s="8" t="s">
        <v>77</v>
      </c>
      <c r="J3" s="8" t="s">
        <v>79</v>
      </c>
      <c r="K3" s="8" t="s">
        <v>81</v>
      </c>
      <c r="L3" s="8" t="s">
        <v>82</v>
      </c>
      <c r="M3" s="8" t="s">
        <v>84</v>
      </c>
      <c r="N3" s="8" t="s">
        <v>86</v>
      </c>
      <c r="O3" s="8" t="s">
        <v>92</v>
      </c>
    </row>
    <row r="4" customFormat="false" ht="15" hidden="false" customHeight="false" outlineLevel="0" collapsed="false">
      <c r="A4" s="2" t="s">
        <v>93</v>
      </c>
      <c r="B4" s="2"/>
      <c r="C4" s="6" t="n">
        <v>1</v>
      </c>
      <c r="D4" s="6" t="n">
        <v>2</v>
      </c>
      <c r="E4" s="6" t="n">
        <v>3</v>
      </c>
      <c r="F4" s="6" t="n">
        <v>4</v>
      </c>
      <c r="G4" s="6" t="n">
        <v>5</v>
      </c>
      <c r="H4" s="6" t="n">
        <v>6</v>
      </c>
      <c r="I4" s="6" t="n">
        <v>7</v>
      </c>
      <c r="J4" s="6" t="n">
        <v>8</v>
      </c>
      <c r="K4" s="6" t="n">
        <v>9</v>
      </c>
      <c r="L4" s="6" t="n">
        <v>10</v>
      </c>
      <c r="M4" s="6" t="n">
        <v>11</v>
      </c>
      <c r="N4" s="6" t="n">
        <v>12</v>
      </c>
      <c r="O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customFormat="false" ht="15" hidden="false" customHeight="false" outlineLevel="0" collapsed="false">
      <c r="A6" s="18" t="s">
        <v>94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customFormat="false" ht="15" hidden="false" customHeight="false" outlineLevel="0" collapsed="false">
      <c r="A7" s="2" t="s">
        <v>94</v>
      </c>
      <c r="B7" s="6" t="str">
        <f aca="false">IF(Productos!$A5="","",Productos!$A5)</f>
        <v>Ejemplo: producto importado</v>
      </c>
      <c r="C7" s="20" t="n">
        <f aca="false">Productos!$B5*Estacionalidad!$B$5*(1+Productos!$L5+Supuestos!$E$9)</f>
        <v>260.1</v>
      </c>
      <c r="D7" s="20" t="n">
        <f aca="false">Productos!$B5*Estacionalidad!$B$6*(1+Productos!$L5+Supuestos!$E$9)</f>
        <v>260.1</v>
      </c>
      <c r="E7" s="20" t="n">
        <f aca="false">Productos!$B5*Estacionalidad!$B$7*(1+Productos!$L5+Supuestos!$E$9)</f>
        <v>290.7</v>
      </c>
      <c r="F7" s="20" t="n">
        <f aca="false">Productos!$B5*Estacionalidad!$B$8*(1+Productos!$L5+Supuestos!$E$9)</f>
        <v>290.7</v>
      </c>
      <c r="G7" s="20" t="n">
        <f aca="false">Productos!$B5*Estacionalidad!$B$9*(1+Productos!$L5+Supuestos!$E$9)</f>
        <v>336.6</v>
      </c>
      <c r="H7" s="20" t="n">
        <f aca="false">Productos!$B5*Estacionalidad!$B$10*(1+Productos!$L5+Supuestos!$E$9)</f>
        <v>306</v>
      </c>
      <c r="I7" s="20" t="n">
        <f aca="false">Productos!$B5*Estacionalidad!$B$11*(1+Productos!$L5+Supuestos!$E$9)</f>
        <v>290.7</v>
      </c>
      <c r="J7" s="20" t="n">
        <f aca="false">Productos!$B5*Estacionalidad!$B$12*(1+Productos!$L5+Supuestos!$E$9)</f>
        <v>306</v>
      </c>
      <c r="K7" s="20" t="n">
        <f aca="false">Productos!$B5*Estacionalidad!$B$13*(1+Productos!$L5+Supuestos!$E$9)</f>
        <v>290.7</v>
      </c>
      <c r="L7" s="20" t="n">
        <f aca="false">Productos!$B5*Estacionalidad!$B$14*(1+Productos!$L5+Supuestos!$E$9)</f>
        <v>321.3</v>
      </c>
      <c r="M7" s="20" t="n">
        <f aca="false">Productos!$B5*Estacionalidad!$B$15*(1+Productos!$L5+Supuestos!$E$9)</f>
        <v>367.2</v>
      </c>
      <c r="N7" s="20" t="n">
        <f aca="false">Productos!$B5*Estacionalidad!$B$16*(1+Productos!$L5+Supuestos!$E$9)</f>
        <v>351.9</v>
      </c>
      <c r="O7" s="21" t="n">
        <f aca="false">SUM(C7:N7)</f>
        <v>3672</v>
      </c>
    </row>
    <row r="8" customFormat="false" ht="15" hidden="false" customHeight="false" outlineLevel="0" collapsed="false">
      <c r="A8" s="2" t="s">
        <v>94</v>
      </c>
      <c r="B8" s="6" t="str">
        <f aca="false">IF(Productos!$A6="","",Productos!$A6)</f>
        <v>Ejemplo: producto nacional</v>
      </c>
      <c r="C8" s="20" t="n">
        <f aca="false">Productos!$B6*Estacionalidad!$B$5*(1+Productos!$L6+Supuestos!$E$9)</f>
        <v>412.25</v>
      </c>
      <c r="D8" s="20" t="n">
        <f aca="false">Productos!$B6*Estacionalidad!$B$6*(1+Productos!$L6+Supuestos!$E$9)</f>
        <v>412.25</v>
      </c>
      <c r="E8" s="20" t="n">
        <f aca="false">Productos!$B6*Estacionalidad!$B$7*(1+Productos!$L6+Supuestos!$E$9)</f>
        <v>460.75</v>
      </c>
      <c r="F8" s="20" t="n">
        <f aca="false">Productos!$B6*Estacionalidad!$B$8*(1+Productos!$L6+Supuestos!$E$9)</f>
        <v>460.75</v>
      </c>
      <c r="G8" s="20" t="n">
        <f aca="false">Productos!$B6*Estacionalidad!$B$9*(1+Productos!$L6+Supuestos!$E$9)</f>
        <v>533.5</v>
      </c>
      <c r="H8" s="20" t="n">
        <f aca="false">Productos!$B6*Estacionalidad!$B$10*(1+Productos!$L6+Supuestos!$E$9)</f>
        <v>485</v>
      </c>
      <c r="I8" s="20" t="n">
        <f aca="false">Productos!$B6*Estacionalidad!$B$11*(1+Productos!$L6+Supuestos!$E$9)</f>
        <v>460.75</v>
      </c>
      <c r="J8" s="20" t="n">
        <f aca="false">Productos!$B6*Estacionalidad!$B$12*(1+Productos!$L6+Supuestos!$E$9)</f>
        <v>485</v>
      </c>
      <c r="K8" s="20" t="n">
        <f aca="false">Productos!$B6*Estacionalidad!$B$13*(1+Productos!$L6+Supuestos!$E$9)</f>
        <v>460.75</v>
      </c>
      <c r="L8" s="20" t="n">
        <f aca="false">Productos!$B6*Estacionalidad!$B$14*(1+Productos!$L6+Supuestos!$E$9)</f>
        <v>509.25</v>
      </c>
      <c r="M8" s="20" t="n">
        <f aca="false">Productos!$B6*Estacionalidad!$B$15*(1+Productos!$L6+Supuestos!$E$9)</f>
        <v>582</v>
      </c>
      <c r="N8" s="20" t="n">
        <f aca="false">Productos!$B6*Estacionalidad!$B$16*(1+Productos!$L6+Supuestos!$E$9)</f>
        <v>557.75</v>
      </c>
      <c r="O8" s="21" t="n">
        <f aca="false">SUM(C8:N8)</f>
        <v>5820</v>
      </c>
    </row>
    <row r="9" customFormat="false" ht="15" hidden="false" customHeight="false" outlineLevel="0" collapsed="false">
      <c r="A9" s="2" t="s">
        <v>94</v>
      </c>
      <c r="B9" s="6" t="str">
        <f aca="false">IF(Productos!$A7="","",Productos!$A7)</f>
        <v>Ejemplo: accesorio</v>
      </c>
      <c r="C9" s="20" t="n">
        <f aca="false">Productos!$B7*Estacionalidad!$B$5*(1+Productos!$L7+Supuestos!$E$9)</f>
        <v>727.6</v>
      </c>
      <c r="D9" s="20" t="n">
        <f aca="false">Productos!$B7*Estacionalidad!$B$6*(1+Productos!$L7+Supuestos!$E$9)</f>
        <v>727.6</v>
      </c>
      <c r="E9" s="20" t="n">
        <f aca="false">Productos!$B7*Estacionalidad!$B$7*(1+Productos!$L7+Supuestos!$E$9)</f>
        <v>813.2</v>
      </c>
      <c r="F9" s="20" t="n">
        <f aca="false">Productos!$B7*Estacionalidad!$B$8*(1+Productos!$L7+Supuestos!$E$9)</f>
        <v>813.2</v>
      </c>
      <c r="G9" s="20" t="n">
        <f aca="false">Productos!$B7*Estacionalidad!$B$9*(1+Productos!$L7+Supuestos!$E$9)</f>
        <v>941.6</v>
      </c>
      <c r="H9" s="20" t="n">
        <f aca="false">Productos!$B7*Estacionalidad!$B$10*(1+Productos!$L7+Supuestos!$E$9)</f>
        <v>856</v>
      </c>
      <c r="I9" s="20" t="n">
        <f aca="false">Productos!$B7*Estacionalidad!$B$11*(1+Productos!$L7+Supuestos!$E$9)</f>
        <v>813.2</v>
      </c>
      <c r="J9" s="20" t="n">
        <f aca="false">Productos!$B7*Estacionalidad!$B$12*(1+Productos!$L7+Supuestos!$E$9)</f>
        <v>856</v>
      </c>
      <c r="K9" s="20" t="n">
        <f aca="false">Productos!$B7*Estacionalidad!$B$13*(1+Productos!$L7+Supuestos!$E$9)</f>
        <v>813.2</v>
      </c>
      <c r="L9" s="20" t="n">
        <f aca="false">Productos!$B7*Estacionalidad!$B$14*(1+Productos!$L7+Supuestos!$E$9)</f>
        <v>898.8</v>
      </c>
      <c r="M9" s="20" t="n">
        <f aca="false">Productos!$B7*Estacionalidad!$B$15*(1+Productos!$L7+Supuestos!$E$9)</f>
        <v>1027.2</v>
      </c>
      <c r="N9" s="20" t="n">
        <f aca="false">Productos!$B7*Estacionalidad!$B$16*(1+Productos!$L7+Supuestos!$E$9)</f>
        <v>984.4</v>
      </c>
      <c r="O9" s="21" t="n">
        <f aca="false">SUM(C9:N9)</f>
        <v>10272</v>
      </c>
    </row>
    <row r="10" customFormat="false" ht="15" hidden="false" customHeight="false" outlineLevel="0" collapsed="false">
      <c r="A10" s="2" t="s">
        <v>94</v>
      </c>
      <c r="B10" s="6" t="str">
        <f aca="false">IF(Productos!$A8="","",Productos!$A8)</f>
        <v/>
      </c>
      <c r="C10" s="20" t="n">
        <f aca="false">Productos!$B8*Estacionalidad!$B$5*(1+Productos!$L8+Supuestos!$E$9)</f>
        <v>0</v>
      </c>
      <c r="D10" s="20" t="n">
        <f aca="false">Productos!$B8*Estacionalidad!$B$6*(1+Productos!$L8+Supuestos!$E$9)</f>
        <v>0</v>
      </c>
      <c r="E10" s="20" t="n">
        <f aca="false">Productos!$B8*Estacionalidad!$B$7*(1+Productos!$L8+Supuestos!$E$9)</f>
        <v>0</v>
      </c>
      <c r="F10" s="20" t="n">
        <f aca="false">Productos!$B8*Estacionalidad!$B$8*(1+Productos!$L8+Supuestos!$E$9)</f>
        <v>0</v>
      </c>
      <c r="G10" s="20" t="n">
        <f aca="false">Productos!$B8*Estacionalidad!$B$9*(1+Productos!$L8+Supuestos!$E$9)</f>
        <v>0</v>
      </c>
      <c r="H10" s="20" t="n">
        <f aca="false">Productos!$B8*Estacionalidad!$B$10*(1+Productos!$L8+Supuestos!$E$9)</f>
        <v>0</v>
      </c>
      <c r="I10" s="20" t="n">
        <f aca="false">Productos!$B8*Estacionalidad!$B$11*(1+Productos!$L8+Supuestos!$E$9)</f>
        <v>0</v>
      </c>
      <c r="J10" s="20" t="n">
        <f aca="false">Productos!$B8*Estacionalidad!$B$12*(1+Productos!$L8+Supuestos!$E$9)</f>
        <v>0</v>
      </c>
      <c r="K10" s="20" t="n">
        <f aca="false">Productos!$B8*Estacionalidad!$B$13*(1+Productos!$L8+Supuestos!$E$9)</f>
        <v>0</v>
      </c>
      <c r="L10" s="20" t="n">
        <f aca="false">Productos!$B8*Estacionalidad!$B$14*(1+Productos!$L8+Supuestos!$E$9)</f>
        <v>0</v>
      </c>
      <c r="M10" s="20" t="n">
        <f aca="false">Productos!$B8*Estacionalidad!$B$15*(1+Productos!$L8+Supuestos!$E$9)</f>
        <v>0</v>
      </c>
      <c r="N10" s="20" t="n">
        <f aca="false">Productos!$B8*Estacionalidad!$B$16*(1+Productos!$L8+Supuestos!$E$9)</f>
        <v>0</v>
      </c>
      <c r="O10" s="21" t="n">
        <f aca="false">SUM(C10:N10)</f>
        <v>0</v>
      </c>
    </row>
    <row r="11" customFormat="false" ht="15" hidden="false" customHeight="false" outlineLevel="0" collapsed="false">
      <c r="A11" s="2" t="s">
        <v>94</v>
      </c>
      <c r="B11" s="6" t="str">
        <f aca="false">IF(Productos!$A9="","",Productos!$A9)</f>
        <v/>
      </c>
      <c r="C11" s="20" t="n">
        <f aca="false">Productos!$B9*Estacionalidad!$B$5*(1+Productos!$L9+Supuestos!$E$9)</f>
        <v>0</v>
      </c>
      <c r="D11" s="20" t="n">
        <f aca="false">Productos!$B9*Estacionalidad!$B$6*(1+Productos!$L9+Supuestos!$E$9)</f>
        <v>0</v>
      </c>
      <c r="E11" s="20" t="n">
        <f aca="false">Productos!$B9*Estacionalidad!$B$7*(1+Productos!$L9+Supuestos!$E$9)</f>
        <v>0</v>
      </c>
      <c r="F11" s="20" t="n">
        <f aca="false">Productos!$B9*Estacionalidad!$B$8*(1+Productos!$L9+Supuestos!$E$9)</f>
        <v>0</v>
      </c>
      <c r="G11" s="20" t="n">
        <f aca="false">Productos!$B9*Estacionalidad!$B$9*(1+Productos!$L9+Supuestos!$E$9)</f>
        <v>0</v>
      </c>
      <c r="H11" s="20" t="n">
        <f aca="false">Productos!$B9*Estacionalidad!$B$10*(1+Productos!$L9+Supuestos!$E$9)</f>
        <v>0</v>
      </c>
      <c r="I11" s="20" t="n">
        <f aca="false">Productos!$B9*Estacionalidad!$B$11*(1+Productos!$L9+Supuestos!$E$9)</f>
        <v>0</v>
      </c>
      <c r="J11" s="20" t="n">
        <f aca="false">Productos!$B9*Estacionalidad!$B$12*(1+Productos!$L9+Supuestos!$E$9)</f>
        <v>0</v>
      </c>
      <c r="K11" s="20" t="n">
        <f aca="false">Productos!$B9*Estacionalidad!$B$13*(1+Productos!$L9+Supuestos!$E$9)</f>
        <v>0</v>
      </c>
      <c r="L11" s="20" t="n">
        <f aca="false">Productos!$B9*Estacionalidad!$B$14*(1+Productos!$L9+Supuestos!$E$9)</f>
        <v>0</v>
      </c>
      <c r="M11" s="20" t="n">
        <f aca="false">Productos!$B9*Estacionalidad!$B$15*(1+Productos!$L9+Supuestos!$E$9)</f>
        <v>0</v>
      </c>
      <c r="N11" s="20" t="n">
        <f aca="false">Productos!$B9*Estacionalidad!$B$16*(1+Productos!$L9+Supuestos!$E$9)</f>
        <v>0</v>
      </c>
      <c r="O11" s="21" t="n">
        <f aca="false">SUM(C11:N11)</f>
        <v>0</v>
      </c>
    </row>
    <row r="12" customFormat="false" ht="15" hidden="false" customHeight="false" outlineLevel="0" collapsed="false">
      <c r="A12" s="2" t="s">
        <v>94</v>
      </c>
      <c r="B12" s="6" t="str">
        <f aca="false">IF(Productos!$A10="","",Productos!$A10)</f>
        <v/>
      </c>
      <c r="C12" s="20" t="n">
        <f aca="false">Productos!$B10*Estacionalidad!$B$5*(1+Productos!$L10+Supuestos!$E$9)</f>
        <v>0</v>
      </c>
      <c r="D12" s="20" t="n">
        <f aca="false">Productos!$B10*Estacionalidad!$B$6*(1+Productos!$L10+Supuestos!$E$9)</f>
        <v>0</v>
      </c>
      <c r="E12" s="20" t="n">
        <f aca="false">Productos!$B10*Estacionalidad!$B$7*(1+Productos!$L10+Supuestos!$E$9)</f>
        <v>0</v>
      </c>
      <c r="F12" s="20" t="n">
        <f aca="false">Productos!$B10*Estacionalidad!$B$8*(1+Productos!$L10+Supuestos!$E$9)</f>
        <v>0</v>
      </c>
      <c r="G12" s="20" t="n">
        <f aca="false">Productos!$B10*Estacionalidad!$B$9*(1+Productos!$L10+Supuestos!$E$9)</f>
        <v>0</v>
      </c>
      <c r="H12" s="20" t="n">
        <f aca="false">Productos!$B10*Estacionalidad!$B$10*(1+Productos!$L10+Supuestos!$E$9)</f>
        <v>0</v>
      </c>
      <c r="I12" s="20" t="n">
        <f aca="false">Productos!$B10*Estacionalidad!$B$11*(1+Productos!$L10+Supuestos!$E$9)</f>
        <v>0</v>
      </c>
      <c r="J12" s="20" t="n">
        <f aca="false">Productos!$B10*Estacionalidad!$B$12*(1+Productos!$L10+Supuestos!$E$9)</f>
        <v>0</v>
      </c>
      <c r="K12" s="20" t="n">
        <f aca="false">Productos!$B10*Estacionalidad!$B$13*(1+Productos!$L10+Supuestos!$E$9)</f>
        <v>0</v>
      </c>
      <c r="L12" s="20" t="n">
        <f aca="false">Productos!$B10*Estacionalidad!$B$14*(1+Productos!$L10+Supuestos!$E$9)</f>
        <v>0</v>
      </c>
      <c r="M12" s="20" t="n">
        <f aca="false">Productos!$B10*Estacionalidad!$B$15*(1+Productos!$L10+Supuestos!$E$9)</f>
        <v>0</v>
      </c>
      <c r="N12" s="20" t="n">
        <f aca="false">Productos!$B10*Estacionalidad!$B$16*(1+Productos!$L10+Supuestos!$E$9)</f>
        <v>0</v>
      </c>
      <c r="O12" s="21" t="n">
        <f aca="false">SUM(C12:N12)</f>
        <v>0</v>
      </c>
    </row>
    <row r="13" customFormat="false" ht="15" hidden="false" customHeight="false" outlineLevel="0" collapsed="false">
      <c r="A13" s="2" t="s">
        <v>94</v>
      </c>
      <c r="B13" s="6" t="str">
        <f aca="false">IF(Productos!$A11="","",Productos!$A11)</f>
        <v/>
      </c>
      <c r="C13" s="20" t="n">
        <f aca="false">Productos!$B11*Estacionalidad!$B$5*(1+Productos!$L11+Supuestos!$E$9)</f>
        <v>0</v>
      </c>
      <c r="D13" s="20" t="n">
        <f aca="false">Productos!$B11*Estacionalidad!$B$6*(1+Productos!$L11+Supuestos!$E$9)</f>
        <v>0</v>
      </c>
      <c r="E13" s="20" t="n">
        <f aca="false">Productos!$B11*Estacionalidad!$B$7*(1+Productos!$L11+Supuestos!$E$9)</f>
        <v>0</v>
      </c>
      <c r="F13" s="20" t="n">
        <f aca="false">Productos!$B11*Estacionalidad!$B$8*(1+Productos!$L11+Supuestos!$E$9)</f>
        <v>0</v>
      </c>
      <c r="G13" s="20" t="n">
        <f aca="false">Productos!$B11*Estacionalidad!$B$9*(1+Productos!$L11+Supuestos!$E$9)</f>
        <v>0</v>
      </c>
      <c r="H13" s="20" t="n">
        <f aca="false">Productos!$B11*Estacionalidad!$B$10*(1+Productos!$L11+Supuestos!$E$9)</f>
        <v>0</v>
      </c>
      <c r="I13" s="20" t="n">
        <f aca="false">Productos!$B11*Estacionalidad!$B$11*(1+Productos!$L11+Supuestos!$E$9)</f>
        <v>0</v>
      </c>
      <c r="J13" s="20" t="n">
        <f aca="false">Productos!$B11*Estacionalidad!$B$12*(1+Productos!$L11+Supuestos!$E$9)</f>
        <v>0</v>
      </c>
      <c r="K13" s="20" t="n">
        <f aca="false">Productos!$B11*Estacionalidad!$B$13*(1+Productos!$L11+Supuestos!$E$9)</f>
        <v>0</v>
      </c>
      <c r="L13" s="20" t="n">
        <f aca="false">Productos!$B11*Estacionalidad!$B$14*(1+Productos!$L11+Supuestos!$E$9)</f>
        <v>0</v>
      </c>
      <c r="M13" s="20" t="n">
        <f aca="false">Productos!$B11*Estacionalidad!$B$15*(1+Productos!$L11+Supuestos!$E$9)</f>
        <v>0</v>
      </c>
      <c r="N13" s="20" t="n">
        <f aca="false">Productos!$B11*Estacionalidad!$B$16*(1+Productos!$L11+Supuestos!$E$9)</f>
        <v>0</v>
      </c>
      <c r="O13" s="21" t="n">
        <f aca="false">SUM(C13:N13)</f>
        <v>0</v>
      </c>
    </row>
    <row r="14" customFormat="false" ht="15" hidden="false" customHeight="false" outlineLevel="0" collapsed="false">
      <c r="A14" s="2" t="s">
        <v>94</v>
      </c>
      <c r="B14" s="6" t="str">
        <f aca="false">IF(Productos!$A12="","",Productos!$A12)</f>
        <v/>
      </c>
      <c r="C14" s="20" t="n">
        <f aca="false">Productos!$B12*Estacionalidad!$B$5*(1+Productos!$L12+Supuestos!$E$9)</f>
        <v>0</v>
      </c>
      <c r="D14" s="20" t="n">
        <f aca="false">Productos!$B12*Estacionalidad!$B$6*(1+Productos!$L12+Supuestos!$E$9)</f>
        <v>0</v>
      </c>
      <c r="E14" s="20" t="n">
        <f aca="false">Productos!$B12*Estacionalidad!$B$7*(1+Productos!$L12+Supuestos!$E$9)</f>
        <v>0</v>
      </c>
      <c r="F14" s="20" t="n">
        <f aca="false">Productos!$B12*Estacionalidad!$B$8*(1+Productos!$L12+Supuestos!$E$9)</f>
        <v>0</v>
      </c>
      <c r="G14" s="20" t="n">
        <f aca="false">Productos!$B12*Estacionalidad!$B$9*(1+Productos!$L12+Supuestos!$E$9)</f>
        <v>0</v>
      </c>
      <c r="H14" s="20" t="n">
        <f aca="false">Productos!$B12*Estacionalidad!$B$10*(1+Productos!$L12+Supuestos!$E$9)</f>
        <v>0</v>
      </c>
      <c r="I14" s="20" t="n">
        <f aca="false">Productos!$B12*Estacionalidad!$B$11*(1+Productos!$L12+Supuestos!$E$9)</f>
        <v>0</v>
      </c>
      <c r="J14" s="20" t="n">
        <f aca="false">Productos!$B12*Estacionalidad!$B$12*(1+Productos!$L12+Supuestos!$E$9)</f>
        <v>0</v>
      </c>
      <c r="K14" s="20" t="n">
        <f aca="false">Productos!$B12*Estacionalidad!$B$13*(1+Productos!$L12+Supuestos!$E$9)</f>
        <v>0</v>
      </c>
      <c r="L14" s="20" t="n">
        <f aca="false">Productos!$B12*Estacionalidad!$B$14*(1+Productos!$L12+Supuestos!$E$9)</f>
        <v>0</v>
      </c>
      <c r="M14" s="20" t="n">
        <f aca="false">Productos!$B12*Estacionalidad!$B$15*(1+Productos!$L12+Supuestos!$E$9)</f>
        <v>0</v>
      </c>
      <c r="N14" s="20" t="n">
        <f aca="false">Productos!$B12*Estacionalidad!$B$16*(1+Productos!$L12+Supuestos!$E$9)</f>
        <v>0</v>
      </c>
      <c r="O14" s="21" t="n">
        <f aca="false">SUM(C14:N14)</f>
        <v>0</v>
      </c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customFormat="false" ht="15" hidden="false" customHeight="false" outlineLevel="0" collapsed="false">
      <c r="A16" s="18" t="s">
        <v>95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customFormat="false" ht="15" hidden="false" customHeight="false" outlineLevel="0" collapsed="false">
      <c r="A17" s="2" t="s">
        <v>95</v>
      </c>
      <c r="B17" s="6" t="str">
        <f aca="false">IF(Productos!$A5="","",Productos!$A5)</f>
        <v>Ejemplo: producto importado</v>
      </c>
      <c r="C17" s="22" t="n">
        <f aca="false">Productos!$C5*(1+Supuestos!$E$12*Supuestos!$E$10)^C$4</f>
        <v>60969.102504202</v>
      </c>
      <c r="D17" s="22" t="n">
        <f aca="false">Productos!$C5*(1+Supuestos!$E$12*Supuestos!$E$10)^D$4</f>
        <v>61953.8576694649</v>
      </c>
      <c r="E17" s="22" t="n">
        <f aca="false">Productos!$C5*(1+Supuestos!$E$12*Supuestos!$E$10)^E$4</f>
        <v>62954.5183130058</v>
      </c>
      <c r="F17" s="22" t="n">
        <f aca="false">Productos!$C5*(1+Supuestos!$E$12*Supuestos!$E$10)^F$4</f>
        <v>63971.341335472</v>
      </c>
      <c r="G17" s="22" t="n">
        <f aca="false">Productos!$C5*(1+Supuestos!$E$12*Supuestos!$E$10)^G$4</f>
        <v>65004.5877868948</v>
      </c>
      <c r="H17" s="22" t="n">
        <f aca="false">Productos!$C5*(1+Supuestos!$E$12*Supuestos!$E$10)^H$4</f>
        <v>66054.5229337098</v>
      </c>
      <c r="I17" s="22" t="n">
        <f aca="false">Productos!$C5*(1+Supuestos!$E$12*Supuestos!$E$10)^I$4</f>
        <v>67121.4163268586</v>
      </c>
      <c r="J17" s="22" t="n">
        <f aca="false">Productos!$C5*(1+Supuestos!$E$12*Supuestos!$E$10)^J$4</f>
        <v>68205.5418709911</v>
      </c>
      <c r="K17" s="22" t="n">
        <f aca="false">Productos!$C5*(1+Supuestos!$E$12*Supuestos!$E$10)^K$4</f>
        <v>69307.177894785</v>
      </c>
      <c r="L17" s="22" t="n">
        <f aca="false">Productos!$C5*(1+Supuestos!$E$12*Supuestos!$E$10)^L$4</f>
        <v>70426.6072224018</v>
      </c>
      <c r="M17" s="22" t="n">
        <f aca="false">Productos!$C5*(1+Supuestos!$E$12*Supuestos!$E$10)^M$4</f>
        <v>71564.1172460966</v>
      </c>
      <c r="N17" s="22" t="n">
        <f aca="false">Productos!$C5*(1+Supuestos!$E$12*Supuestos!$E$10)^N$4</f>
        <v>72719.9999999999</v>
      </c>
      <c r="O17" s="13"/>
    </row>
    <row r="18" customFormat="false" ht="15" hidden="false" customHeight="false" outlineLevel="0" collapsed="false">
      <c r="A18" s="2" t="s">
        <v>95</v>
      </c>
      <c r="B18" s="6" t="str">
        <f aca="false">IF(Productos!$A6="","",Productos!$A6)</f>
        <v>Ejemplo: producto nacional</v>
      </c>
      <c r="C18" s="22" t="n">
        <f aca="false">Productos!$C6*(1+Supuestos!$E$12*Supuestos!$E$10)^C$4</f>
        <v>28452.2478352943</v>
      </c>
      <c r="D18" s="22" t="n">
        <f aca="false">Productos!$C6*(1+Supuestos!$E$12*Supuestos!$E$10)^D$4</f>
        <v>28911.8002457503</v>
      </c>
      <c r="E18" s="22" t="n">
        <f aca="false">Productos!$C6*(1+Supuestos!$E$12*Supuestos!$E$10)^E$4</f>
        <v>29378.7752127361</v>
      </c>
      <c r="F18" s="22" t="n">
        <f aca="false">Productos!$C6*(1+Supuestos!$E$12*Supuestos!$E$10)^F$4</f>
        <v>29853.2926232202</v>
      </c>
      <c r="G18" s="22" t="n">
        <f aca="false">Productos!$C6*(1+Supuestos!$E$12*Supuestos!$E$10)^G$4</f>
        <v>30335.4743005509</v>
      </c>
      <c r="H18" s="22" t="n">
        <f aca="false">Productos!$C6*(1+Supuestos!$E$12*Supuestos!$E$10)^H$4</f>
        <v>30825.4440357312</v>
      </c>
      <c r="I18" s="22" t="n">
        <f aca="false">Productos!$C6*(1+Supuestos!$E$12*Supuestos!$E$10)^I$4</f>
        <v>31323.3276192007</v>
      </c>
      <c r="J18" s="22" t="n">
        <f aca="false">Productos!$C6*(1+Supuestos!$E$12*Supuestos!$E$10)^J$4</f>
        <v>31829.2528731292</v>
      </c>
      <c r="K18" s="22" t="n">
        <f aca="false">Productos!$C6*(1+Supuestos!$E$12*Supuestos!$E$10)^K$4</f>
        <v>32343.349684233</v>
      </c>
      <c r="L18" s="22" t="n">
        <f aca="false">Productos!$C6*(1+Supuestos!$E$12*Supuestos!$E$10)^L$4</f>
        <v>32865.7500371209</v>
      </c>
      <c r="M18" s="22" t="n">
        <f aca="false">Productos!$C6*(1+Supuestos!$E$12*Supuestos!$E$10)^M$4</f>
        <v>33396.5880481784</v>
      </c>
      <c r="N18" s="22" t="n">
        <f aca="false">Productos!$C6*(1+Supuestos!$E$12*Supuestos!$E$10)^N$4</f>
        <v>33936</v>
      </c>
      <c r="O18" s="13"/>
    </row>
    <row r="19" customFormat="false" ht="15" hidden="false" customHeight="false" outlineLevel="0" collapsed="false">
      <c r="A19" s="2" t="s">
        <v>95</v>
      </c>
      <c r="B19" s="6" t="str">
        <f aca="false">IF(Productos!$A7="","",Productos!$A7)</f>
        <v>Ejemplo: accesorio</v>
      </c>
      <c r="C19" s="22" t="n">
        <f aca="false">Productos!$C7*(1+Supuestos!$E$12*Supuestos!$E$10)^C$4</f>
        <v>12193.8205008404</v>
      </c>
      <c r="D19" s="22" t="n">
        <f aca="false">Productos!$C7*(1+Supuestos!$E$12*Supuestos!$E$10)^D$4</f>
        <v>12390.771533893</v>
      </c>
      <c r="E19" s="22" t="n">
        <f aca="false">Productos!$C7*(1+Supuestos!$E$12*Supuestos!$E$10)^E$4</f>
        <v>12590.9036626012</v>
      </c>
      <c r="F19" s="22" t="n">
        <f aca="false">Productos!$C7*(1+Supuestos!$E$12*Supuestos!$E$10)^F$4</f>
        <v>12794.2682670944</v>
      </c>
      <c r="G19" s="22" t="n">
        <f aca="false">Productos!$C7*(1+Supuestos!$E$12*Supuestos!$E$10)^G$4</f>
        <v>13000.917557379</v>
      </c>
      <c r="H19" s="22" t="n">
        <f aca="false">Productos!$C7*(1+Supuestos!$E$12*Supuestos!$E$10)^H$4</f>
        <v>13210.904586742</v>
      </c>
      <c r="I19" s="22" t="n">
        <f aca="false">Productos!$C7*(1+Supuestos!$E$12*Supuestos!$E$10)^I$4</f>
        <v>13424.2832653717</v>
      </c>
      <c r="J19" s="22" t="n">
        <f aca="false">Productos!$C7*(1+Supuestos!$E$12*Supuestos!$E$10)^J$4</f>
        <v>13641.1083741982</v>
      </c>
      <c r="K19" s="22" t="n">
        <f aca="false">Productos!$C7*(1+Supuestos!$E$12*Supuestos!$E$10)^K$4</f>
        <v>13861.435578957</v>
      </c>
      <c r="L19" s="22" t="n">
        <f aca="false">Productos!$C7*(1+Supuestos!$E$12*Supuestos!$E$10)^L$4</f>
        <v>14085.3214444804</v>
      </c>
      <c r="M19" s="22" t="n">
        <f aca="false">Productos!$C7*(1+Supuestos!$E$12*Supuestos!$E$10)^M$4</f>
        <v>14312.8234492193</v>
      </c>
      <c r="N19" s="22" t="n">
        <f aca="false">Productos!$C7*(1+Supuestos!$E$12*Supuestos!$E$10)^N$4</f>
        <v>14544</v>
      </c>
      <c r="O19" s="13"/>
    </row>
    <row r="20" customFormat="false" ht="15" hidden="false" customHeight="false" outlineLevel="0" collapsed="false">
      <c r="A20" s="2" t="s">
        <v>95</v>
      </c>
      <c r="B20" s="6" t="str">
        <f aca="false">IF(Productos!$A8="","",Productos!$A8)</f>
        <v/>
      </c>
      <c r="C20" s="22" t="n">
        <f aca="false">Productos!$C8*(1+Supuestos!$E$12*Supuestos!$E$10)^C$4</f>
        <v>0</v>
      </c>
      <c r="D20" s="22" t="n">
        <f aca="false">Productos!$C8*(1+Supuestos!$E$12*Supuestos!$E$10)^D$4</f>
        <v>0</v>
      </c>
      <c r="E20" s="22" t="n">
        <f aca="false">Productos!$C8*(1+Supuestos!$E$12*Supuestos!$E$10)^E$4</f>
        <v>0</v>
      </c>
      <c r="F20" s="22" t="n">
        <f aca="false">Productos!$C8*(1+Supuestos!$E$12*Supuestos!$E$10)^F$4</f>
        <v>0</v>
      </c>
      <c r="G20" s="22" t="n">
        <f aca="false">Productos!$C8*(1+Supuestos!$E$12*Supuestos!$E$10)^G$4</f>
        <v>0</v>
      </c>
      <c r="H20" s="22" t="n">
        <f aca="false">Productos!$C8*(1+Supuestos!$E$12*Supuestos!$E$10)^H$4</f>
        <v>0</v>
      </c>
      <c r="I20" s="22" t="n">
        <f aca="false">Productos!$C8*(1+Supuestos!$E$12*Supuestos!$E$10)^I$4</f>
        <v>0</v>
      </c>
      <c r="J20" s="22" t="n">
        <f aca="false">Productos!$C8*(1+Supuestos!$E$12*Supuestos!$E$10)^J$4</f>
        <v>0</v>
      </c>
      <c r="K20" s="22" t="n">
        <f aca="false">Productos!$C8*(1+Supuestos!$E$12*Supuestos!$E$10)^K$4</f>
        <v>0</v>
      </c>
      <c r="L20" s="22" t="n">
        <f aca="false">Productos!$C8*(1+Supuestos!$E$12*Supuestos!$E$10)^L$4</f>
        <v>0</v>
      </c>
      <c r="M20" s="22" t="n">
        <f aca="false">Productos!$C8*(1+Supuestos!$E$12*Supuestos!$E$10)^M$4</f>
        <v>0</v>
      </c>
      <c r="N20" s="22" t="n">
        <f aca="false">Productos!$C8*(1+Supuestos!$E$12*Supuestos!$E$10)^N$4</f>
        <v>0</v>
      </c>
      <c r="O20" s="13"/>
    </row>
    <row r="21" customFormat="false" ht="15" hidden="false" customHeight="false" outlineLevel="0" collapsed="false">
      <c r="A21" s="2" t="s">
        <v>95</v>
      </c>
      <c r="B21" s="6" t="str">
        <f aca="false">IF(Productos!$A9="","",Productos!$A9)</f>
        <v/>
      </c>
      <c r="C21" s="22" t="n">
        <f aca="false">Productos!$C9*(1+Supuestos!$E$12*Supuestos!$E$10)^C$4</f>
        <v>0</v>
      </c>
      <c r="D21" s="22" t="n">
        <f aca="false">Productos!$C9*(1+Supuestos!$E$12*Supuestos!$E$10)^D$4</f>
        <v>0</v>
      </c>
      <c r="E21" s="22" t="n">
        <f aca="false">Productos!$C9*(1+Supuestos!$E$12*Supuestos!$E$10)^E$4</f>
        <v>0</v>
      </c>
      <c r="F21" s="22" t="n">
        <f aca="false">Productos!$C9*(1+Supuestos!$E$12*Supuestos!$E$10)^F$4</f>
        <v>0</v>
      </c>
      <c r="G21" s="22" t="n">
        <f aca="false">Productos!$C9*(1+Supuestos!$E$12*Supuestos!$E$10)^G$4</f>
        <v>0</v>
      </c>
      <c r="H21" s="22" t="n">
        <f aca="false">Productos!$C9*(1+Supuestos!$E$12*Supuestos!$E$10)^H$4</f>
        <v>0</v>
      </c>
      <c r="I21" s="22" t="n">
        <f aca="false">Productos!$C9*(1+Supuestos!$E$12*Supuestos!$E$10)^I$4</f>
        <v>0</v>
      </c>
      <c r="J21" s="22" t="n">
        <f aca="false">Productos!$C9*(1+Supuestos!$E$12*Supuestos!$E$10)^J$4</f>
        <v>0</v>
      </c>
      <c r="K21" s="22" t="n">
        <f aca="false">Productos!$C9*(1+Supuestos!$E$12*Supuestos!$E$10)^K$4</f>
        <v>0</v>
      </c>
      <c r="L21" s="22" t="n">
        <f aca="false">Productos!$C9*(1+Supuestos!$E$12*Supuestos!$E$10)^L$4</f>
        <v>0</v>
      </c>
      <c r="M21" s="22" t="n">
        <f aca="false">Productos!$C9*(1+Supuestos!$E$12*Supuestos!$E$10)^M$4</f>
        <v>0</v>
      </c>
      <c r="N21" s="22" t="n">
        <f aca="false">Productos!$C9*(1+Supuestos!$E$12*Supuestos!$E$10)^N$4</f>
        <v>0</v>
      </c>
      <c r="O21" s="13"/>
    </row>
    <row r="22" customFormat="false" ht="15" hidden="false" customHeight="false" outlineLevel="0" collapsed="false">
      <c r="A22" s="2" t="s">
        <v>95</v>
      </c>
      <c r="B22" s="6" t="str">
        <f aca="false">IF(Productos!$A10="","",Productos!$A10)</f>
        <v/>
      </c>
      <c r="C22" s="22" t="n">
        <f aca="false">Productos!$C10*(1+Supuestos!$E$12*Supuestos!$E$10)^C$4</f>
        <v>0</v>
      </c>
      <c r="D22" s="22" t="n">
        <f aca="false">Productos!$C10*(1+Supuestos!$E$12*Supuestos!$E$10)^D$4</f>
        <v>0</v>
      </c>
      <c r="E22" s="22" t="n">
        <f aca="false">Productos!$C10*(1+Supuestos!$E$12*Supuestos!$E$10)^E$4</f>
        <v>0</v>
      </c>
      <c r="F22" s="22" t="n">
        <f aca="false">Productos!$C10*(1+Supuestos!$E$12*Supuestos!$E$10)^F$4</f>
        <v>0</v>
      </c>
      <c r="G22" s="22" t="n">
        <f aca="false">Productos!$C10*(1+Supuestos!$E$12*Supuestos!$E$10)^G$4</f>
        <v>0</v>
      </c>
      <c r="H22" s="22" t="n">
        <f aca="false">Productos!$C10*(1+Supuestos!$E$12*Supuestos!$E$10)^H$4</f>
        <v>0</v>
      </c>
      <c r="I22" s="22" t="n">
        <f aca="false">Productos!$C10*(1+Supuestos!$E$12*Supuestos!$E$10)^I$4</f>
        <v>0</v>
      </c>
      <c r="J22" s="22" t="n">
        <f aca="false">Productos!$C10*(1+Supuestos!$E$12*Supuestos!$E$10)^J$4</f>
        <v>0</v>
      </c>
      <c r="K22" s="22" t="n">
        <f aca="false">Productos!$C10*(1+Supuestos!$E$12*Supuestos!$E$10)^K$4</f>
        <v>0</v>
      </c>
      <c r="L22" s="22" t="n">
        <f aca="false">Productos!$C10*(1+Supuestos!$E$12*Supuestos!$E$10)^L$4</f>
        <v>0</v>
      </c>
      <c r="M22" s="22" t="n">
        <f aca="false">Productos!$C10*(1+Supuestos!$E$12*Supuestos!$E$10)^M$4</f>
        <v>0</v>
      </c>
      <c r="N22" s="22" t="n">
        <f aca="false">Productos!$C10*(1+Supuestos!$E$12*Supuestos!$E$10)^N$4</f>
        <v>0</v>
      </c>
      <c r="O22" s="13"/>
    </row>
    <row r="23" customFormat="false" ht="15" hidden="false" customHeight="false" outlineLevel="0" collapsed="false">
      <c r="A23" s="2" t="s">
        <v>95</v>
      </c>
      <c r="B23" s="6" t="str">
        <f aca="false">IF(Productos!$A11="","",Productos!$A11)</f>
        <v/>
      </c>
      <c r="C23" s="22" t="n">
        <f aca="false">Productos!$C11*(1+Supuestos!$E$12*Supuestos!$E$10)^C$4</f>
        <v>0</v>
      </c>
      <c r="D23" s="22" t="n">
        <f aca="false">Productos!$C11*(1+Supuestos!$E$12*Supuestos!$E$10)^D$4</f>
        <v>0</v>
      </c>
      <c r="E23" s="22" t="n">
        <f aca="false">Productos!$C11*(1+Supuestos!$E$12*Supuestos!$E$10)^E$4</f>
        <v>0</v>
      </c>
      <c r="F23" s="22" t="n">
        <f aca="false">Productos!$C11*(1+Supuestos!$E$12*Supuestos!$E$10)^F$4</f>
        <v>0</v>
      </c>
      <c r="G23" s="22" t="n">
        <f aca="false">Productos!$C11*(1+Supuestos!$E$12*Supuestos!$E$10)^G$4</f>
        <v>0</v>
      </c>
      <c r="H23" s="22" t="n">
        <f aca="false">Productos!$C11*(1+Supuestos!$E$12*Supuestos!$E$10)^H$4</f>
        <v>0</v>
      </c>
      <c r="I23" s="22" t="n">
        <f aca="false">Productos!$C11*(1+Supuestos!$E$12*Supuestos!$E$10)^I$4</f>
        <v>0</v>
      </c>
      <c r="J23" s="22" t="n">
        <f aca="false">Productos!$C11*(1+Supuestos!$E$12*Supuestos!$E$10)^J$4</f>
        <v>0</v>
      </c>
      <c r="K23" s="22" t="n">
        <f aca="false">Productos!$C11*(1+Supuestos!$E$12*Supuestos!$E$10)^K$4</f>
        <v>0</v>
      </c>
      <c r="L23" s="22" t="n">
        <f aca="false">Productos!$C11*(1+Supuestos!$E$12*Supuestos!$E$10)^L$4</f>
        <v>0</v>
      </c>
      <c r="M23" s="22" t="n">
        <f aca="false">Productos!$C11*(1+Supuestos!$E$12*Supuestos!$E$10)^M$4</f>
        <v>0</v>
      </c>
      <c r="N23" s="22" t="n">
        <f aca="false">Productos!$C11*(1+Supuestos!$E$12*Supuestos!$E$10)^N$4</f>
        <v>0</v>
      </c>
      <c r="O23" s="13"/>
    </row>
    <row r="24" customFormat="false" ht="15" hidden="false" customHeight="false" outlineLevel="0" collapsed="false">
      <c r="A24" s="2" t="s">
        <v>95</v>
      </c>
      <c r="B24" s="6" t="str">
        <f aca="false">IF(Productos!$A12="","",Productos!$A12)</f>
        <v/>
      </c>
      <c r="C24" s="22" t="n">
        <f aca="false">Productos!$C12*(1+Supuestos!$E$12*Supuestos!$E$10)^C$4</f>
        <v>0</v>
      </c>
      <c r="D24" s="22" t="n">
        <f aca="false">Productos!$C12*(1+Supuestos!$E$12*Supuestos!$E$10)^D$4</f>
        <v>0</v>
      </c>
      <c r="E24" s="22" t="n">
        <f aca="false">Productos!$C12*(1+Supuestos!$E$12*Supuestos!$E$10)^E$4</f>
        <v>0</v>
      </c>
      <c r="F24" s="22" t="n">
        <f aca="false">Productos!$C12*(1+Supuestos!$E$12*Supuestos!$E$10)^F$4</f>
        <v>0</v>
      </c>
      <c r="G24" s="22" t="n">
        <f aca="false">Productos!$C12*(1+Supuestos!$E$12*Supuestos!$E$10)^G$4</f>
        <v>0</v>
      </c>
      <c r="H24" s="22" t="n">
        <f aca="false">Productos!$C12*(1+Supuestos!$E$12*Supuestos!$E$10)^H$4</f>
        <v>0</v>
      </c>
      <c r="I24" s="22" t="n">
        <f aca="false">Productos!$C12*(1+Supuestos!$E$12*Supuestos!$E$10)^I$4</f>
        <v>0</v>
      </c>
      <c r="J24" s="22" t="n">
        <f aca="false">Productos!$C12*(1+Supuestos!$E$12*Supuestos!$E$10)^J$4</f>
        <v>0</v>
      </c>
      <c r="K24" s="22" t="n">
        <f aca="false">Productos!$C12*(1+Supuestos!$E$12*Supuestos!$E$10)^K$4</f>
        <v>0</v>
      </c>
      <c r="L24" s="22" t="n">
        <f aca="false">Productos!$C12*(1+Supuestos!$E$12*Supuestos!$E$10)^L$4</f>
        <v>0</v>
      </c>
      <c r="M24" s="22" t="n">
        <f aca="false">Productos!$C12*(1+Supuestos!$E$12*Supuestos!$E$10)^M$4</f>
        <v>0</v>
      </c>
      <c r="N24" s="22" t="n">
        <f aca="false">Productos!$C12*(1+Supuestos!$E$12*Supuestos!$E$10)^N$4</f>
        <v>0</v>
      </c>
      <c r="O24" s="13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customFormat="false" ht="15" hidden="false" customHeight="false" outlineLevel="0" collapsed="false">
      <c r="A26" s="18" t="s">
        <v>96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customFormat="false" ht="15" hidden="false" customHeight="false" outlineLevel="0" collapsed="false">
      <c r="A27" s="2" t="s">
        <v>96</v>
      </c>
      <c r="B27" s="6" t="str">
        <f aca="false">IF(Productos!$A5="","",Productos!$A5)</f>
        <v>Ejemplo: producto importado</v>
      </c>
      <c r="C27" s="22" t="n">
        <f aca="false">C7*C17</f>
        <v>15858063.561343</v>
      </c>
      <c r="D27" s="22" t="n">
        <f aca="false">D7*D17</f>
        <v>16114198.3798278</v>
      </c>
      <c r="E27" s="22" t="n">
        <f aca="false">E7*E17</f>
        <v>18300878.4735908</v>
      </c>
      <c r="F27" s="22" t="n">
        <f aca="false">F7*F17</f>
        <v>18596468.9262217</v>
      </c>
      <c r="G27" s="22" t="n">
        <f aca="false">G7*G17</f>
        <v>21880544.2490688</v>
      </c>
      <c r="H27" s="22" t="n">
        <f aca="false">H7*H17</f>
        <v>20212684.0177152</v>
      </c>
      <c r="I27" s="22" t="n">
        <f aca="false">I7*I17</f>
        <v>19512195.7262178</v>
      </c>
      <c r="J27" s="22" t="n">
        <f aca="false">J7*J17</f>
        <v>20870895.8125233</v>
      </c>
      <c r="K27" s="22" t="n">
        <f aca="false">K7*K17</f>
        <v>20147596.614014</v>
      </c>
      <c r="L27" s="22" t="n">
        <f aca="false">L7*L17</f>
        <v>22628068.9005577</v>
      </c>
      <c r="M27" s="22" t="n">
        <f aca="false">M7*M17</f>
        <v>26278343.8527667</v>
      </c>
      <c r="N27" s="22" t="n">
        <f aca="false">N7*N17</f>
        <v>25590168</v>
      </c>
      <c r="O27" s="13" t="n">
        <f aca="false">SUM(C27:N27)</f>
        <v>245990106.513847</v>
      </c>
    </row>
    <row r="28" customFormat="false" ht="15" hidden="false" customHeight="false" outlineLevel="0" collapsed="false">
      <c r="A28" s="2" t="s">
        <v>96</v>
      </c>
      <c r="B28" s="6" t="str">
        <f aca="false">IF(Productos!$A6="","",Productos!$A6)</f>
        <v>Ejemplo: producto nacional</v>
      </c>
      <c r="C28" s="22" t="n">
        <f aca="false">C8*C18</f>
        <v>11729439.1701001</v>
      </c>
      <c r="D28" s="22" t="n">
        <f aca="false">D8*D18</f>
        <v>11918889.6513106</v>
      </c>
      <c r="E28" s="22" t="n">
        <f aca="false">E8*E18</f>
        <v>13536270.6792681</v>
      </c>
      <c r="F28" s="22" t="n">
        <f aca="false">F8*F18</f>
        <v>13754904.5761487</v>
      </c>
      <c r="G28" s="22" t="n">
        <f aca="false">G8*G18</f>
        <v>16183975.5393439</v>
      </c>
      <c r="H28" s="22" t="n">
        <f aca="false">H8*H18</f>
        <v>14950340.3573297</v>
      </c>
      <c r="I28" s="22" t="n">
        <f aca="false">I8*I18</f>
        <v>14432223.2005467</v>
      </c>
      <c r="J28" s="22" t="n">
        <f aca="false">J8*J18</f>
        <v>15437187.6434676</v>
      </c>
      <c r="K28" s="22" t="n">
        <f aca="false">K8*K18</f>
        <v>14902198.3670103</v>
      </c>
      <c r="L28" s="22" t="n">
        <f aca="false">L8*L18</f>
        <v>16736883.2064038</v>
      </c>
      <c r="M28" s="22" t="n">
        <f aca="false">M8*M18</f>
        <v>19436814.2440398</v>
      </c>
      <c r="N28" s="22" t="n">
        <f aca="false">N8*N18</f>
        <v>18927804</v>
      </c>
      <c r="O28" s="13" t="n">
        <f aca="false">SUM(C28:N28)</f>
        <v>181946930.634969</v>
      </c>
    </row>
    <row r="29" customFormat="false" ht="15" hidden="false" customHeight="false" outlineLevel="0" collapsed="false">
      <c r="A29" s="2" t="s">
        <v>96</v>
      </c>
      <c r="B29" s="6" t="str">
        <f aca="false">IF(Productos!$A7="","",Productos!$A7)</f>
        <v>Ejemplo: accesorio</v>
      </c>
      <c r="C29" s="22" t="n">
        <f aca="false">C9*C19</f>
        <v>8872223.79641148</v>
      </c>
      <c r="D29" s="22" t="n">
        <f aca="false">D9*D19</f>
        <v>9015525.36806054</v>
      </c>
      <c r="E29" s="22" t="n">
        <f aca="false">E9*E19</f>
        <v>10238922.8584273</v>
      </c>
      <c r="F29" s="22" t="n">
        <f aca="false">F9*F19</f>
        <v>10404298.9548012</v>
      </c>
      <c r="G29" s="22" t="n">
        <f aca="false">G9*G19</f>
        <v>12241663.972028</v>
      </c>
      <c r="H29" s="22" t="n">
        <f aca="false">H9*H19</f>
        <v>11308534.3262511</v>
      </c>
      <c r="I29" s="22" t="n">
        <f aca="false">I9*I19</f>
        <v>10916627.1514003</v>
      </c>
      <c r="J29" s="22" t="n">
        <f aca="false">J9*J19</f>
        <v>11676788.7683137</v>
      </c>
      <c r="K29" s="22" t="n">
        <f aca="false">K9*K19</f>
        <v>11272119.4128078</v>
      </c>
      <c r="L29" s="22" t="n">
        <f aca="false">L9*L19</f>
        <v>12659886.914299</v>
      </c>
      <c r="M29" s="22" t="n">
        <f aca="false">M9*M19</f>
        <v>14702132.2470381</v>
      </c>
      <c r="N29" s="22" t="n">
        <f aca="false">N9*N19</f>
        <v>14317113.6</v>
      </c>
      <c r="O29" s="13" t="n">
        <f aca="false">SUM(C29:N29)</f>
        <v>137625837.369838</v>
      </c>
    </row>
    <row r="30" customFormat="false" ht="15" hidden="false" customHeight="false" outlineLevel="0" collapsed="false">
      <c r="A30" s="2" t="s">
        <v>96</v>
      </c>
      <c r="B30" s="6" t="str">
        <f aca="false">IF(Productos!$A8="","",Productos!$A8)</f>
        <v/>
      </c>
      <c r="C30" s="22" t="n">
        <f aca="false">C10*C20</f>
        <v>0</v>
      </c>
      <c r="D30" s="22" t="n">
        <f aca="false">D10*D20</f>
        <v>0</v>
      </c>
      <c r="E30" s="22" t="n">
        <f aca="false">E10*E20</f>
        <v>0</v>
      </c>
      <c r="F30" s="22" t="n">
        <f aca="false">F10*F20</f>
        <v>0</v>
      </c>
      <c r="G30" s="22" t="n">
        <f aca="false">G10*G20</f>
        <v>0</v>
      </c>
      <c r="H30" s="22" t="n">
        <f aca="false">H10*H20</f>
        <v>0</v>
      </c>
      <c r="I30" s="22" t="n">
        <f aca="false">I10*I20</f>
        <v>0</v>
      </c>
      <c r="J30" s="22" t="n">
        <f aca="false">J10*J20</f>
        <v>0</v>
      </c>
      <c r="K30" s="22" t="n">
        <f aca="false">K10*K20</f>
        <v>0</v>
      </c>
      <c r="L30" s="22" t="n">
        <f aca="false">L10*L20</f>
        <v>0</v>
      </c>
      <c r="M30" s="22" t="n">
        <f aca="false">M10*M20</f>
        <v>0</v>
      </c>
      <c r="N30" s="22" t="n">
        <f aca="false">N10*N20</f>
        <v>0</v>
      </c>
      <c r="O30" s="13" t="n">
        <f aca="false">SUM(C30:N30)</f>
        <v>0</v>
      </c>
    </row>
    <row r="31" customFormat="false" ht="15" hidden="false" customHeight="false" outlineLevel="0" collapsed="false">
      <c r="A31" s="2" t="s">
        <v>96</v>
      </c>
      <c r="B31" s="6" t="str">
        <f aca="false">IF(Productos!$A9="","",Productos!$A9)</f>
        <v/>
      </c>
      <c r="C31" s="22" t="n">
        <f aca="false">C11*C21</f>
        <v>0</v>
      </c>
      <c r="D31" s="22" t="n">
        <f aca="false">D11*D21</f>
        <v>0</v>
      </c>
      <c r="E31" s="22" t="n">
        <f aca="false">E11*E21</f>
        <v>0</v>
      </c>
      <c r="F31" s="22" t="n">
        <f aca="false">F11*F21</f>
        <v>0</v>
      </c>
      <c r="G31" s="22" t="n">
        <f aca="false">G11*G21</f>
        <v>0</v>
      </c>
      <c r="H31" s="22" t="n">
        <f aca="false">H11*H21</f>
        <v>0</v>
      </c>
      <c r="I31" s="22" t="n">
        <f aca="false">I11*I21</f>
        <v>0</v>
      </c>
      <c r="J31" s="22" t="n">
        <f aca="false">J11*J21</f>
        <v>0</v>
      </c>
      <c r="K31" s="22" t="n">
        <f aca="false">K11*K21</f>
        <v>0</v>
      </c>
      <c r="L31" s="22" t="n">
        <f aca="false">L11*L21</f>
        <v>0</v>
      </c>
      <c r="M31" s="22" t="n">
        <f aca="false">M11*M21</f>
        <v>0</v>
      </c>
      <c r="N31" s="22" t="n">
        <f aca="false">N11*N21</f>
        <v>0</v>
      </c>
      <c r="O31" s="13" t="n">
        <f aca="false">SUM(C31:N31)</f>
        <v>0</v>
      </c>
    </row>
    <row r="32" customFormat="false" ht="15" hidden="false" customHeight="false" outlineLevel="0" collapsed="false">
      <c r="A32" s="2" t="s">
        <v>96</v>
      </c>
      <c r="B32" s="6" t="str">
        <f aca="false">IF(Productos!$A10="","",Productos!$A10)</f>
        <v/>
      </c>
      <c r="C32" s="22" t="n">
        <f aca="false">C12*C22</f>
        <v>0</v>
      </c>
      <c r="D32" s="22" t="n">
        <f aca="false">D12*D22</f>
        <v>0</v>
      </c>
      <c r="E32" s="22" t="n">
        <f aca="false">E12*E22</f>
        <v>0</v>
      </c>
      <c r="F32" s="22" t="n">
        <f aca="false">F12*F22</f>
        <v>0</v>
      </c>
      <c r="G32" s="22" t="n">
        <f aca="false">G12*G22</f>
        <v>0</v>
      </c>
      <c r="H32" s="22" t="n">
        <f aca="false">H12*H22</f>
        <v>0</v>
      </c>
      <c r="I32" s="22" t="n">
        <f aca="false">I12*I22</f>
        <v>0</v>
      </c>
      <c r="J32" s="22" t="n">
        <f aca="false">J12*J22</f>
        <v>0</v>
      </c>
      <c r="K32" s="22" t="n">
        <f aca="false">K12*K22</f>
        <v>0</v>
      </c>
      <c r="L32" s="22" t="n">
        <f aca="false">L12*L22</f>
        <v>0</v>
      </c>
      <c r="M32" s="22" t="n">
        <f aca="false">M12*M22</f>
        <v>0</v>
      </c>
      <c r="N32" s="22" t="n">
        <f aca="false">N12*N22</f>
        <v>0</v>
      </c>
      <c r="O32" s="13" t="n">
        <f aca="false">SUM(C32:N32)</f>
        <v>0</v>
      </c>
    </row>
    <row r="33" customFormat="false" ht="15" hidden="false" customHeight="false" outlineLevel="0" collapsed="false">
      <c r="A33" s="2" t="s">
        <v>96</v>
      </c>
      <c r="B33" s="6" t="str">
        <f aca="false">IF(Productos!$A11="","",Productos!$A11)</f>
        <v/>
      </c>
      <c r="C33" s="22" t="n">
        <f aca="false">C13*C23</f>
        <v>0</v>
      </c>
      <c r="D33" s="22" t="n">
        <f aca="false">D13*D23</f>
        <v>0</v>
      </c>
      <c r="E33" s="22" t="n">
        <f aca="false">E13*E23</f>
        <v>0</v>
      </c>
      <c r="F33" s="22" t="n">
        <f aca="false">F13*F23</f>
        <v>0</v>
      </c>
      <c r="G33" s="22" t="n">
        <f aca="false">G13*G23</f>
        <v>0</v>
      </c>
      <c r="H33" s="22" t="n">
        <f aca="false">H13*H23</f>
        <v>0</v>
      </c>
      <c r="I33" s="22" t="n">
        <f aca="false">I13*I23</f>
        <v>0</v>
      </c>
      <c r="J33" s="22" t="n">
        <f aca="false">J13*J23</f>
        <v>0</v>
      </c>
      <c r="K33" s="22" t="n">
        <f aca="false">K13*K23</f>
        <v>0</v>
      </c>
      <c r="L33" s="22" t="n">
        <f aca="false">L13*L23</f>
        <v>0</v>
      </c>
      <c r="M33" s="22" t="n">
        <f aca="false">M13*M23</f>
        <v>0</v>
      </c>
      <c r="N33" s="22" t="n">
        <f aca="false">N13*N23</f>
        <v>0</v>
      </c>
      <c r="O33" s="13" t="n">
        <f aca="false">SUM(C33:N33)</f>
        <v>0</v>
      </c>
    </row>
    <row r="34" customFormat="false" ht="15" hidden="false" customHeight="false" outlineLevel="0" collapsed="false">
      <c r="A34" s="2" t="s">
        <v>96</v>
      </c>
      <c r="B34" s="6" t="str">
        <f aca="false">IF(Productos!$A12="","",Productos!$A12)</f>
        <v/>
      </c>
      <c r="C34" s="22" t="n">
        <f aca="false">C14*C24</f>
        <v>0</v>
      </c>
      <c r="D34" s="22" t="n">
        <f aca="false">D14*D24</f>
        <v>0</v>
      </c>
      <c r="E34" s="22" t="n">
        <f aca="false">E14*E24</f>
        <v>0</v>
      </c>
      <c r="F34" s="22" t="n">
        <f aca="false">F14*F24</f>
        <v>0</v>
      </c>
      <c r="G34" s="22" t="n">
        <f aca="false">G14*G24</f>
        <v>0</v>
      </c>
      <c r="H34" s="22" t="n">
        <f aca="false">H14*H24</f>
        <v>0</v>
      </c>
      <c r="I34" s="22" t="n">
        <f aca="false">I14*I24</f>
        <v>0</v>
      </c>
      <c r="J34" s="22" t="n">
        <f aca="false">J14*J24</f>
        <v>0</v>
      </c>
      <c r="K34" s="22" t="n">
        <f aca="false">K14*K24</f>
        <v>0</v>
      </c>
      <c r="L34" s="22" t="n">
        <f aca="false">L14*L24</f>
        <v>0</v>
      </c>
      <c r="M34" s="22" t="n">
        <f aca="false">M14*M24</f>
        <v>0</v>
      </c>
      <c r="N34" s="22" t="n">
        <f aca="false">N14*N24</f>
        <v>0</v>
      </c>
      <c r="O34" s="13" t="n">
        <f aca="false">SUM(C34:N34)</f>
        <v>0</v>
      </c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customFormat="false" ht="15" hidden="false" customHeight="false" outlineLevel="0" collapsed="false">
      <c r="A36" s="18" t="s">
        <v>97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customFormat="false" ht="15" hidden="false" customHeight="false" outlineLevel="0" collapsed="false">
      <c r="A37" s="2" t="s">
        <v>97</v>
      </c>
      <c r="B37" s="6" t="str">
        <f aca="false">IF(Productos!$A5="","",Productos!$A5)</f>
        <v>Ejemplo: producto importado</v>
      </c>
      <c r="C37" s="22" t="n">
        <f aca="false">Productos!$D5*(Productos!$E5*(1+Supuestos!$E$13)^C$4+(1-Productos!$E5)*(1+Supuestos!$E$12)^C$4)</f>
        <v>18321.1576510417</v>
      </c>
      <c r="D37" s="22" t="n">
        <f aca="false">Productos!$D5*(Productos!$E5*(1+Supuestos!$E$13)^D$4+(1-Productos!$E5)*(1+Supuestos!$E$12)^D$4)</f>
        <v>18648.0511411429</v>
      </c>
      <c r="E37" s="22" t="n">
        <f aca="false">Productos!$D5*(Productos!$E5*(1+Supuestos!$E$13)^E$4+(1-Productos!$E5)*(1+Supuestos!$E$12)^E$4)</f>
        <v>18980.7830050109</v>
      </c>
      <c r="F37" s="22" t="n">
        <f aca="false">Productos!$D5*(Productos!$E5*(1+Supuestos!$E$13)^F$4+(1-Productos!$E5)*(1+Supuestos!$E$12)^F$4)</f>
        <v>19319.4576117999</v>
      </c>
      <c r="G37" s="22" t="n">
        <f aca="false">Productos!$D5*(Productos!$E5*(1+Supuestos!$E$13)^G$4+(1-Productos!$E5)*(1+Supuestos!$E$12)^G$4)</f>
        <v>19664.181197955</v>
      </c>
      <c r="H37" s="22" t="n">
        <f aca="false">Productos!$D5*(Productos!$E5*(1+Supuestos!$E$13)^H$4+(1-Productos!$E5)*(1+Supuestos!$E$12)^H$4)</f>
        <v>20015.0619006461</v>
      </c>
      <c r="I37" s="22" t="n">
        <f aca="false">Productos!$D5*(Productos!$E5*(1+Supuestos!$E$13)^I$4+(1-Productos!$E5)*(1+Supuestos!$E$12)^I$4)</f>
        <v>20372.2097918</v>
      </c>
      <c r="J37" s="22" t="n">
        <f aca="false">Productos!$D5*(Productos!$E5*(1+Supuestos!$E$13)^J$4+(1-Productos!$E5)*(1+Supuestos!$E$12)^J$4)</f>
        <v>20735.7369127426</v>
      </c>
      <c r="K37" s="22" t="n">
        <f aca="false">Productos!$D5*(Productos!$E5*(1+Supuestos!$E$13)^K$4+(1-Productos!$E5)*(1+Supuestos!$E$12)^K$4)</f>
        <v>21105.7573094614</v>
      </c>
      <c r="L37" s="22" t="n">
        <f aca="false">Productos!$D5*(Productos!$E5*(1+Supuestos!$E$13)^L$4+(1-Productos!$E5)*(1+Supuestos!$E$12)^L$4)</f>
        <v>21482.3870685006</v>
      </c>
      <c r="M37" s="22" t="n">
        <f aca="false">Productos!$D5*(Productos!$E5*(1+Supuestos!$E$13)^M$4+(1-Productos!$E5)*(1+Supuestos!$E$12)^M$4)</f>
        <v>21865.7443534983</v>
      </c>
      <c r="N37" s="22" t="n">
        <f aca="false">Productos!$D5*(Productos!$E5*(1+Supuestos!$E$13)^N$4+(1-Productos!$E5)*(1+Supuestos!$E$12)^N$4)</f>
        <v>22255.9494423792</v>
      </c>
      <c r="O37" s="13"/>
    </row>
    <row r="38" customFormat="false" ht="15" hidden="false" customHeight="false" outlineLevel="0" collapsed="false">
      <c r="A38" s="2" t="s">
        <v>97</v>
      </c>
      <c r="B38" s="6" t="str">
        <f aca="false">IF(Productos!$A6="","",Productos!$A6)</f>
        <v>Ejemplo: producto nacional</v>
      </c>
      <c r="C38" s="22" t="n">
        <f aca="false">Productos!$D6*(Productos!$E6*(1+Supuestos!$E$13)^C$4+(1-Productos!$E6)*(1+Supuestos!$E$12)^C$4)</f>
        <v>9148.74614227265</v>
      </c>
      <c r="D38" s="22" t="n">
        <f aca="false">Productos!$D6*(Productos!$E6*(1+Supuestos!$E$13)^D$4+(1-Productos!$E6)*(1+Supuestos!$E$12)^D$4)</f>
        <v>9299.95574378678</v>
      </c>
      <c r="E38" s="22" t="n">
        <f aca="false">Productos!$D6*(Productos!$E6*(1+Supuestos!$E$13)^E$4+(1-Productos!$E6)*(1+Supuestos!$E$12)^E$4)</f>
        <v>9453.66969262967</v>
      </c>
      <c r="F38" s="22" t="n">
        <f aca="false">Productos!$D6*(Productos!$E6*(1+Supuestos!$E$13)^F$4+(1-Productos!$E6)*(1+Supuestos!$E$12)^F$4)</f>
        <v>9609.92955711616</v>
      </c>
      <c r="G38" s="22" t="n">
        <f aca="false">Productos!$D6*(Productos!$E6*(1+Supuestos!$E$13)^G$4+(1-Productos!$E6)*(1+Supuestos!$E$12)^G$4)</f>
        <v>9768.77759713272</v>
      </c>
      <c r="H38" s="22" t="n">
        <f aca="false">Productos!$D6*(Productos!$E6*(1+Supuestos!$E$13)^H$4+(1-Productos!$E6)*(1+Supuestos!$E$12)^H$4)</f>
        <v>9930.25677567126</v>
      </c>
      <c r="I38" s="22" t="n">
        <f aca="false">Productos!$D6*(Productos!$E6*(1+Supuestos!$E$13)^I$4+(1-Productos!$E6)*(1+Supuestos!$E$12)^I$4)</f>
        <v>10094.4107705557</v>
      </c>
      <c r="J38" s="22" t="n">
        <f aca="false">Productos!$D6*(Productos!$E6*(1+Supuestos!$E$13)^J$4+(1-Productos!$E6)*(1+Supuestos!$E$12)^J$4)</f>
        <v>10261.2839863648</v>
      </c>
      <c r="K38" s="22" t="n">
        <f aca="false">Productos!$D6*(Productos!$E6*(1+Supuestos!$E$13)^K$4+(1-Productos!$E6)*(1+Supuestos!$E$12)^K$4)</f>
        <v>10430.921566554</v>
      </c>
      <c r="L38" s="22" t="n">
        <f aca="false">Productos!$D6*(Productos!$E6*(1+Supuestos!$E$13)^L$4+(1-Productos!$E6)*(1+Supuestos!$E$12)^L$4)</f>
        <v>10603.3694057803</v>
      </c>
      <c r="M38" s="22" t="n">
        <f aca="false">Productos!$D6*(Productos!$E6*(1+Supuestos!$E$13)^M$4+(1-Productos!$E6)*(1+Supuestos!$E$12)^M$4)</f>
        <v>10778.6741624333</v>
      </c>
      <c r="N38" s="22" t="n">
        <f aca="false">Productos!$D6*(Productos!$E6*(1+Supuestos!$E$13)^N$4+(1-Productos!$E6)*(1+Supuestos!$E$12)^N$4)</f>
        <v>10956.8832713755</v>
      </c>
      <c r="O38" s="13"/>
    </row>
    <row r="39" customFormat="false" ht="15" hidden="false" customHeight="false" outlineLevel="0" collapsed="false">
      <c r="A39" s="2" t="s">
        <v>97</v>
      </c>
      <c r="B39" s="6" t="str">
        <f aca="false">IF(Productos!$A7="","",Productos!$A7)</f>
        <v>Ejemplo: accesorio</v>
      </c>
      <c r="C39" s="22" t="n">
        <f aca="false">Productos!$D7*(Productos!$E7*(1+Supuestos!$E$13)^C$4+(1-Productos!$E7)*(1+Supuestos!$E$12)^C$4)</f>
        <v>3051.83589185244</v>
      </c>
      <c r="D39" s="22" t="n">
        <f aca="false">Productos!$D7*(Productos!$E7*(1+Supuestos!$E$13)^D$4+(1-Productos!$E7)*(1+Supuestos!$E$12)^D$4)</f>
        <v>3104.56997684029</v>
      </c>
      <c r="E39" s="22" t="n">
        <f aca="false">Productos!$D7*(Productos!$E7*(1+Supuestos!$E$13)^E$4+(1-Productos!$E7)*(1+Supuestos!$E$12)^E$4)</f>
        <v>3158.21786132909</v>
      </c>
      <c r="F39" s="22" t="n">
        <f aca="false">Productos!$D7*(Productos!$E7*(1+Supuestos!$E$13)^F$4+(1-Productos!$E7)*(1+Supuestos!$E$12)^F$4)</f>
        <v>3212.79542356896</v>
      </c>
      <c r="G39" s="22" t="n">
        <f aca="false">Productos!$D7*(Productos!$E7*(1+Supuestos!$E$13)^G$4+(1-Productos!$E7)*(1+Supuestos!$E$12)^G$4)</f>
        <v>3268.31881844324</v>
      </c>
      <c r="H39" s="22" t="n">
        <f aca="false">Productos!$D7*(Productos!$E7*(1+Supuestos!$E$13)^H$4+(1-Productos!$E7)*(1+Supuestos!$E$12)^H$4)</f>
        <v>3324.80448230028</v>
      </c>
      <c r="I39" s="22" t="n">
        <f aca="false">Productos!$D7*(Productos!$E7*(1+Supuestos!$E$13)^I$4+(1-Productos!$E7)*(1+Supuestos!$E$12)^I$4)</f>
        <v>3382.26913786986</v>
      </c>
      <c r="J39" s="22" t="n">
        <f aca="false">Productos!$D7*(Productos!$E7*(1+Supuestos!$E$13)^J$4+(1-Productos!$E7)*(1+Supuestos!$E$12)^J$4)</f>
        <v>3440.72979926569</v>
      </c>
      <c r="K39" s="22" t="n">
        <f aca="false">Productos!$D7*(Productos!$E7*(1+Supuestos!$E$13)^K$4+(1-Productos!$E7)*(1+Supuestos!$E$12)^K$4)</f>
        <v>3500.20377707546</v>
      </c>
      <c r="L39" s="22" t="n">
        <f aca="false">Productos!$D7*(Productos!$E7*(1+Supuestos!$E$13)^L$4+(1-Productos!$E7)*(1+Supuestos!$E$12)^L$4)</f>
        <v>3560.7086835401</v>
      </c>
      <c r="M39" s="22" t="n">
        <f aca="false">Productos!$D7*(Productos!$E7*(1+Supuestos!$E$13)^M$4+(1-Productos!$E7)*(1+Supuestos!$E$12)^M$4)</f>
        <v>3622.26243782364</v>
      </c>
      <c r="N39" s="22" t="n">
        <f aca="false">Productos!$D7*(Productos!$E7*(1+Supuestos!$E$13)^N$4+(1-Productos!$E7)*(1+Supuestos!$E$12)^N$4)</f>
        <v>3684.88327137546</v>
      </c>
      <c r="O39" s="13"/>
    </row>
    <row r="40" customFormat="false" ht="15" hidden="false" customHeight="false" outlineLevel="0" collapsed="false">
      <c r="A40" s="2" t="s">
        <v>97</v>
      </c>
      <c r="B40" s="6" t="str">
        <f aca="false">IF(Productos!$A8="","",Productos!$A8)</f>
        <v/>
      </c>
      <c r="C40" s="22" t="n">
        <f aca="false">Productos!$D8*(Productos!$E8*(1+Supuestos!$E$13)^C$4+(1-Productos!$E8)*(1+Supuestos!$E$12)^C$4)</f>
        <v>0</v>
      </c>
      <c r="D40" s="22" t="n">
        <f aca="false">Productos!$D8*(Productos!$E8*(1+Supuestos!$E$13)^D$4+(1-Productos!$E8)*(1+Supuestos!$E$12)^D$4)</f>
        <v>0</v>
      </c>
      <c r="E40" s="22" t="n">
        <f aca="false">Productos!$D8*(Productos!$E8*(1+Supuestos!$E$13)^E$4+(1-Productos!$E8)*(1+Supuestos!$E$12)^E$4)</f>
        <v>0</v>
      </c>
      <c r="F40" s="22" t="n">
        <f aca="false">Productos!$D8*(Productos!$E8*(1+Supuestos!$E$13)^F$4+(1-Productos!$E8)*(1+Supuestos!$E$12)^F$4)</f>
        <v>0</v>
      </c>
      <c r="G40" s="22" t="n">
        <f aca="false">Productos!$D8*(Productos!$E8*(1+Supuestos!$E$13)^G$4+(1-Productos!$E8)*(1+Supuestos!$E$12)^G$4)</f>
        <v>0</v>
      </c>
      <c r="H40" s="22" t="n">
        <f aca="false">Productos!$D8*(Productos!$E8*(1+Supuestos!$E$13)^H$4+(1-Productos!$E8)*(1+Supuestos!$E$12)^H$4)</f>
        <v>0</v>
      </c>
      <c r="I40" s="22" t="n">
        <f aca="false">Productos!$D8*(Productos!$E8*(1+Supuestos!$E$13)^I$4+(1-Productos!$E8)*(1+Supuestos!$E$12)^I$4)</f>
        <v>0</v>
      </c>
      <c r="J40" s="22" t="n">
        <f aca="false">Productos!$D8*(Productos!$E8*(1+Supuestos!$E$13)^J$4+(1-Productos!$E8)*(1+Supuestos!$E$12)^J$4)</f>
        <v>0</v>
      </c>
      <c r="K40" s="22" t="n">
        <f aca="false">Productos!$D8*(Productos!$E8*(1+Supuestos!$E$13)^K$4+(1-Productos!$E8)*(1+Supuestos!$E$12)^K$4)</f>
        <v>0</v>
      </c>
      <c r="L40" s="22" t="n">
        <f aca="false">Productos!$D8*(Productos!$E8*(1+Supuestos!$E$13)^L$4+(1-Productos!$E8)*(1+Supuestos!$E$12)^L$4)</f>
        <v>0</v>
      </c>
      <c r="M40" s="22" t="n">
        <f aca="false">Productos!$D8*(Productos!$E8*(1+Supuestos!$E$13)^M$4+(1-Productos!$E8)*(1+Supuestos!$E$12)^M$4)</f>
        <v>0</v>
      </c>
      <c r="N40" s="22" t="n">
        <f aca="false">Productos!$D8*(Productos!$E8*(1+Supuestos!$E$13)^N$4+(1-Productos!$E8)*(1+Supuestos!$E$12)^N$4)</f>
        <v>0</v>
      </c>
      <c r="O40" s="13"/>
    </row>
    <row r="41" customFormat="false" ht="15" hidden="false" customHeight="false" outlineLevel="0" collapsed="false">
      <c r="A41" s="2" t="s">
        <v>97</v>
      </c>
      <c r="B41" s="6" t="str">
        <f aca="false">IF(Productos!$A9="","",Productos!$A9)</f>
        <v/>
      </c>
      <c r="C41" s="22" t="n">
        <f aca="false">Productos!$D9*(Productos!$E9*(1+Supuestos!$E$13)^C$4+(1-Productos!$E9)*(1+Supuestos!$E$12)^C$4)</f>
        <v>0</v>
      </c>
      <c r="D41" s="22" t="n">
        <f aca="false">Productos!$D9*(Productos!$E9*(1+Supuestos!$E$13)^D$4+(1-Productos!$E9)*(1+Supuestos!$E$12)^D$4)</f>
        <v>0</v>
      </c>
      <c r="E41" s="22" t="n">
        <f aca="false">Productos!$D9*(Productos!$E9*(1+Supuestos!$E$13)^E$4+(1-Productos!$E9)*(1+Supuestos!$E$12)^E$4)</f>
        <v>0</v>
      </c>
      <c r="F41" s="22" t="n">
        <f aca="false">Productos!$D9*(Productos!$E9*(1+Supuestos!$E$13)^F$4+(1-Productos!$E9)*(1+Supuestos!$E$12)^F$4)</f>
        <v>0</v>
      </c>
      <c r="G41" s="22" t="n">
        <f aca="false">Productos!$D9*(Productos!$E9*(1+Supuestos!$E$13)^G$4+(1-Productos!$E9)*(1+Supuestos!$E$12)^G$4)</f>
        <v>0</v>
      </c>
      <c r="H41" s="22" t="n">
        <f aca="false">Productos!$D9*(Productos!$E9*(1+Supuestos!$E$13)^H$4+(1-Productos!$E9)*(1+Supuestos!$E$12)^H$4)</f>
        <v>0</v>
      </c>
      <c r="I41" s="22" t="n">
        <f aca="false">Productos!$D9*(Productos!$E9*(1+Supuestos!$E$13)^I$4+(1-Productos!$E9)*(1+Supuestos!$E$12)^I$4)</f>
        <v>0</v>
      </c>
      <c r="J41" s="22" t="n">
        <f aca="false">Productos!$D9*(Productos!$E9*(1+Supuestos!$E$13)^J$4+(1-Productos!$E9)*(1+Supuestos!$E$12)^J$4)</f>
        <v>0</v>
      </c>
      <c r="K41" s="22" t="n">
        <f aca="false">Productos!$D9*(Productos!$E9*(1+Supuestos!$E$13)^K$4+(1-Productos!$E9)*(1+Supuestos!$E$12)^K$4)</f>
        <v>0</v>
      </c>
      <c r="L41" s="22" t="n">
        <f aca="false">Productos!$D9*(Productos!$E9*(1+Supuestos!$E$13)^L$4+(1-Productos!$E9)*(1+Supuestos!$E$12)^L$4)</f>
        <v>0</v>
      </c>
      <c r="M41" s="22" t="n">
        <f aca="false">Productos!$D9*(Productos!$E9*(1+Supuestos!$E$13)^M$4+(1-Productos!$E9)*(1+Supuestos!$E$12)^M$4)</f>
        <v>0</v>
      </c>
      <c r="N41" s="22" t="n">
        <f aca="false">Productos!$D9*(Productos!$E9*(1+Supuestos!$E$13)^N$4+(1-Productos!$E9)*(1+Supuestos!$E$12)^N$4)</f>
        <v>0</v>
      </c>
      <c r="O41" s="13"/>
    </row>
    <row r="42" customFormat="false" ht="15" hidden="false" customHeight="false" outlineLevel="0" collapsed="false">
      <c r="A42" s="2" t="s">
        <v>97</v>
      </c>
      <c r="B42" s="6" t="str">
        <f aca="false">IF(Productos!$A10="","",Productos!$A10)</f>
        <v/>
      </c>
      <c r="C42" s="22" t="n">
        <f aca="false">Productos!$D10*(Productos!$E10*(1+Supuestos!$E$13)^C$4+(1-Productos!$E10)*(1+Supuestos!$E$12)^C$4)</f>
        <v>0</v>
      </c>
      <c r="D42" s="22" t="n">
        <f aca="false">Productos!$D10*(Productos!$E10*(1+Supuestos!$E$13)^D$4+(1-Productos!$E10)*(1+Supuestos!$E$12)^D$4)</f>
        <v>0</v>
      </c>
      <c r="E42" s="22" t="n">
        <f aca="false">Productos!$D10*(Productos!$E10*(1+Supuestos!$E$13)^E$4+(1-Productos!$E10)*(1+Supuestos!$E$12)^E$4)</f>
        <v>0</v>
      </c>
      <c r="F42" s="22" t="n">
        <f aca="false">Productos!$D10*(Productos!$E10*(1+Supuestos!$E$13)^F$4+(1-Productos!$E10)*(1+Supuestos!$E$12)^F$4)</f>
        <v>0</v>
      </c>
      <c r="G42" s="22" t="n">
        <f aca="false">Productos!$D10*(Productos!$E10*(1+Supuestos!$E$13)^G$4+(1-Productos!$E10)*(1+Supuestos!$E$12)^G$4)</f>
        <v>0</v>
      </c>
      <c r="H42" s="22" t="n">
        <f aca="false">Productos!$D10*(Productos!$E10*(1+Supuestos!$E$13)^H$4+(1-Productos!$E10)*(1+Supuestos!$E$12)^H$4)</f>
        <v>0</v>
      </c>
      <c r="I42" s="22" t="n">
        <f aca="false">Productos!$D10*(Productos!$E10*(1+Supuestos!$E$13)^I$4+(1-Productos!$E10)*(1+Supuestos!$E$12)^I$4)</f>
        <v>0</v>
      </c>
      <c r="J42" s="22" t="n">
        <f aca="false">Productos!$D10*(Productos!$E10*(1+Supuestos!$E$13)^J$4+(1-Productos!$E10)*(1+Supuestos!$E$12)^J$4)</f>
        <v>0</v>
      </c>
      <c r="K42" s="22" t="n">
        <f aca="false">Productos!$D10*(Productos!$E10*(1+Supuestos!$E$13)^K$4+(1-Productos!$E10)*(1+Supuestos!$E$12)^K$4)</f>
        <v>0</v>
      </c>
      <c r="L42" s="22" t="n">
        <f aca="false">Productos!$D10*(Productos!$E10*(1+Supuestos!$E$13)^L$4+(1-Productos!$E10)*(1+Supuestos!$E$12)^L$4)</f>
        <v>0</v>
      </c>
      <c r="M42" s="22" t="n">
        <f aca="false">Productos!$D10*(Productos!$E10*(1+Supuestos!$E$13)^M$4+(1-Productos!$E10)*(1+Supuestos!$E$12)^M$4)</f>
        <v>0</v>
      </c>
      <c r="N42" s="22" t="n">
        <f aca="false">Productos!$D10*(Productos!$E10*(1+Supuestos!$E$13)^N$4+(1-Productos!$E10)*(1+Supuestos!$E$12)^N$4)</f>
        <v>0</v>
      </c>
      <c r="O42" s="13"/>
    </row>
    <row r="43" customFormat="false" ht="15" hidden="false" customHeight="false" outlineLevel="0" collapsed="false">
      <c r="A43" s="2" t="s">
        <v>97</v>
      </c>
      <c r="B43" s="6" t="str">
        <f aca="false">IF(Productos!$A11="","",Productos!$A11)</f>
        <v/>
      </c>
      <c r="C43" s="22" t="n">
        <f aca="false">Productos!$D11*(Productos!$E11*(1+Supuestos!$E$13)^C$4+(1-Productos!$E11)*(1+Supuestos!$E$12)^C$4)</f>
        <v>0</v>
      </c>
      <c r="D43" s="22" t="n">
        <f aca="false">Productos!$D11*(Productos!$E11*(1+Supuestos!$E$13)^D$4+(1-Productos!$E11)*(1+Supuestos!$E$12)^D$4)</f>
        <v>0</v>
      </c>
      <c r="E43" s="22" t="n">
        <f aca="false">Productos!$D11*(Productos!$E11*(1+Supuestos!$E$13)^E$4+(1-Productos!$E11)*(1+Supuestos!$E$12)^E$4)</f>
        <v>0</v>
      </c>
      <c r="F43" s="22" t="n">
        <f aca="false">Productos!$D11*(Productos!$E11*(1+Supuestos!$E$13)^F$4+(1-Productos!$E11)*(1+Supuestos!$E$12)^F$4)</f>
        <v>0</v>
      </c>
      <c r="G43" s="22" t="n">
        <f aca="false">Productos!$D11*(Productos!$E11*(1+Supuestos!$E$13)^G$4+(1-Productos!$E11)*(1+Supuestos!$E$12)^G$4)</f>
        <v>0</v>
      </c>
      <c r="H43" s="22" t="n">
        <f aca="false">Productos!$D11*(Productos!$E11*(1+Supuestos!$E$13)^H$4+(1-Productos!$E11)*(1+Supuestos!$E$12)^H$4)</f>
        <v>0</v>
      </c>
      <c r="I43" s="22" t="n">
        <f aca="false">Productos!$D11*(Productos!$E11*(1+Supuestos!$E$13)^I$4+(1-Productos!$E11)*(1+Supuestos!$E$12)^I$4)</f>
        <v>0</v>
      </c>
      <c r="J43" s="22" t="n">
        <f aca="false">Productos!$D11*(Productos!$E11*(1+Supuestos!$E$13)^J$4+(1-Productos!$E11)*(1+Supuestos!$E$12)^J$4)</f>
        <v>0</v>
      </c>
      <c r="K43" s="22" t="n">
        <f aca="false">Productos!$D11*(Productos!$E11*(1+Supuestos!$E$13)^K$4+(1-Productos!$E11)*(1+Supuestos!$E$12)^K$4)</f>
        <v>0</v>
      </c>
      <c r="L43" s="22" t="n">
        <f aca="false">Productos!$D11*(Productos!$E11*(1+Supuestos!$E$13)^L$4+(1-Productos!$E11)*(1+Supuestos!$E$12)^L$4)</f>
        <v>0</v>
      </c>
      <c r="M43" s="22" t="n">
        <f aca="false">Productos!$D11*(Productos!$E11*(1+Supuestos!$E$13)^M$4+(1-Productos!$E11)*(1+Supuestos!$E$12)^M$4)</f>
        <v>0</v>
      </c>
      <c r="N43" s="22" t="n">
        <f aca="false">Productos!$D11*(Productos!$E11*(1+Supuestos!$E$13)^N$4+(1-Productos!$E11)*(1+Supuestos!$E$12)^N$4)</f>
        <v>0</v>
      </c>
      <c r="O43" s="13"/>
    </row>
    <row r="44" customFormat="false" ht="15" hidden="false" customHeight="false" outlineLevel="0" collapsed="false">
      <c r="A44" s="2" t="s">
        <v>97</v>
      </c>
      <c r="B44" s="6" t="str">
        <f aca="false">IF(Productos!$A12="","",Productos!$A12)</f>
        <v/>
      </c>
      <c r="C44" s="22" t="n">
        <f aca="false">Productos!$D12*(Productos!$E12*(1+Supuestos!$E$13)^C$4+(1-Productos!$E12)*(1+Supuestos!$E$12)^C$4)</f>
        <v>0</v>
      </c>
      <c r="D44" s="22" t="n">
        <f aca="false">Productos!$D12*(Productos!$E12*(1+Supuestos!$E$13)^D$4+(1-Productos!$E12)*(1+Supuestos!$E$12)^D$4)</f>
        <v>0</v>
      </c>
      <c r="E44" s="22" t="n">
        <f aca="false">Productos!$D12*(Productos!$E12*(1+Supuestos!$E$13)^E$4+(1-Productos!$E12)*(1+Supuestos!$E$12)^E$4)</f>
        <v>0</v>
      </c>
      <c r="F44" s="22" t="n">
        <f aca="false">Productos!$D12*(Productos!$E12*(1+Supuestos!$E$13)^F$4+(1-Productos!$E12)*(1+Supuestos!$E$12)^F$4)</f>
        <v>0</v>
      </c>
      <c r="G44" s="22" t="n">
        <f aca="false">Productos!$D12*(Productos!$E12*(1+Supuestos!$E$13)^G$4+(1-Productos!$E12)*(1+Supuestos!$E$12)^G$4)</f>
        <v>0</v>
      </c>
      <c r="H44" s="22" t="n">
        <f aca="false">Productos!$D12*(Productos!$E12*(1+Supuestos!$E$13)^H$4+(1-Productos!$E12)*(1+Supuestos!$E$12)^H$4)</f>
        <v>0</v>
      </c>
      <c r="I44" s="22" t="n">
        <f aca="false">Productos!$D12*(Productos!$E12*(1+Supuestos!$E$13)^I$4+(1-Productos!$E12)*(1+Supuestos!$E$12)^I$4)</f>
        <v>0</v>
      </c>
      <c r="J44" s="22" t="n">
        <f aca="false">Productos!$D12*(Productos!$E12*(1+Supuestos!$E$13)^J$4+(1-Productos!$E12)*(1+Supuestos!$E$12)^J$4)</f>
        <v>0</v>
      </c>
      <c r="K44" s="22" t="n">
        <f aca="false">Productos!$D12*(Productos!$E12*(1+Supuestos!$E$13)^K$4+(1-Productos!$E12)*(1+Supuestos!$E$12)^K$4)</f>
        <v>0</v>
      </c>
      <c r="L44" s="22" t="n">
        <f aca="false">Productos!$D12*(Productos!$E12*(1+Supuestos!$E$13)^L$4+(1-Productos!$E12)*(1+Supuestos!$E$12)^L$4)</f>
        <v>0</v>
      </c>
      <c r="M44" s="22" t="n">
        <f aca="false">Productos!$D12*(Productos!$E12*(1+Supuestos!$E$13)^M$4+(1-Productos!$E12)*(1+Supuestos!$E$12)^M$4)</f>
        <v>0</v>
      </c>
      <c r="N44" s="22" t="n">
        <f aca="false">Productos!$D12*(Productos!$E12*(1+Supuestos!$E$13)^N$4+(1-Productos!$E12)*(1+Supuestos!$E$12)^N$4)</f>
        <v>0</v>
      </c>
      <c r="O44" s="13"/>
    </row>
    <row r="45" customFormat="false" ht="1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customFormat="false" ht="15" hidden="false" customHeight="false" outlineLevel="0" collapsed="false">
      <c r="A46" s="18" t="s">
        <v>98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customFormat="false" ht="15" hidden="false" customHeight="false" outlineLevel="0" collapsed="false">
      <c r="A47" s="2" t="s">
        <v>98</v>
      </c>
      <c r="B47" s="6" t="str">
        <f aca="false">IF(Productos!$A5="","",Productos!$A5)</f>
        <v>Ejemplo: producto importado</v>
      </c>
      <c r="C47" s="22" t="n">
        <f aca="false">C17/(1+Supuestos!$E$16*Supuestos!$E$17)-C37-C17*(Productos!$F5+Productos!$I5+Productos!$J5)-Productos!$G5*(1+Supuestos!$E$12)^C$4-Productos!$H5*(1+Supuestos!$E$12)^C$4-C17/(1+Supuestos!$E$16*Supuestos!$E$17)*Productos!$K5</f>
        <v>8455.69955758755</v>
      </c>
      <c r="D47" s="22" t="n">
        <f aca="false">D17/(1+Supuestos!$E$16*Supuestos!$E$17)-D37-D17*(Productos!$F5+Productos!$I5+Productos!$J5)-Productos!$G5*(1+Supuestos!$E$12)^D$4-Productos!$H5*(1+Supuestos!$E$12)^D$4-D17/(1+Supuestos!$E$16*Supuestos!$E$17)*Productos!$K5</f>
        <v>8561.29805707876</v>
      </c>
      <c r="E47" s="22" t="n">
        <f aca="false">E17/(1+Supuestos!$E$16*Supuestos!$E$17)-E37-E17*(Productos!$F5+Productos!$I5+Productos!$J5)-Productos!$G5*(1+Supuestos!$E$12)^E$4-Productos!$H5*(1+Supuestos!$E$12)^E$4-E17/(1+Supuestos!$E$16*Supuestos!$E$17)*Productos!$K5</f>
        <v>8668.04366730576</v>
      </c>
      <c r="F47" s="22" t="n">
        <f aca="false">F17/(1+Supuestos!$E$16*Supuestos!$E$17)-F37-F17*(Productos!$F5+Productos!$I5+Productos!$J5)-Productos!$G5*(1+Supuestos!$E$12)^F$4-Productos!$H5*(1+Supuestos!$E$12)^F$4-F17/(1+Supuestos!$E$16*Supuestos!$E$17)*Productos!$K5</f>
        <v>8775.94484662332</v>
      </c>
      <c r="G47" s="22" t="n">
        <f aca="false">G17/(1+Supuestos!$E$16*Supuestos!$E$17)-G37-G17*(Productos!$F5+Productos!$I5+Productos!$J5)-Productos!$G5*(1+Supuestos!$E$12)^G$4-Productos!$H5*(1+Supuestos!$E$12)^G$4-G17/(1+Supuestos!$E$16*Supuestos!$E$17)*Productos!$K5</f>
        <v>8885.01000845193</v>
      </c>
      <c r="H47" s="22" t="n">
        <f aca="false">H17/(1+Supuestos!$E$16*Supuestos!$E$17)-H37-H17*(Productos!$F5+Productos!$I5+Productos!$J5)-Productos!$G5*(1+Supuestos!$E$12)^H$4-Productos!$H5*(1+Supuestos!$E$12)^H$4-H17/(1+Supuestos!$E$16*Supuestos!$E$17)*Productos!$K5</f>
        <v>8995.2475172787</v>
      </c>
      <c r="I47" s="22" t="n">
        <f aca="false">I17/(1+Supuestos!$E$16*Supuestos!$E$17)-I37-I17*(Productos!$F5+Productos!$I5+Productos!$J5)-Productos!$G5*(1+Supuestos!$E$12)^I$4-Productos!$H5*(1+Supuestos!$E$12)^I$4-I17/(1+Supuestos!$E$16*Supuestos!$E$17)*Productos!$K5</f>
        <v>9106.66568453456</v>
      </c>
      <c r="J47" s="22" t="n">
        <f aca="false">J17/(1+Supuestos!$E$16*Supuestos!$E$17)-J37-J17*(Productos!$F5+Productos!$I5+Productos!$J5)-Productos!$G5*(1+Supuestos!$E$12)^J$4-Productos!$H5*(1+Supuestos!$E$12)^J$4-J17/(1+Supuestos!$E$16*Supuestos!$E$17)*Productos!$K5</f>
        <v>9219.27276434491</v>
      </c>
      <c r="K47" s="22" t="n">
        <f aca="false">K17/(1+Supuestos!$E$16*Supuestos!$E$17)-K37-K17*(Productos!$F5+Productos!$I5+Productos!$J5)-Productos!$G5*(1+Supuestos!$E$12)^K$4-Productos!$H5*(1+Supuestos!$E$12)^K$4-K17/(1+Supuestos!$E$16*Supuestos!$E$17)*Productos!$K5</f>
        <v>9333.07694915039</v>
      </c>
      <c r="L47" s="22" t="n">
        <f aca="false">L17/(1+Supuestos!$E$16*Supuestos!$E$17)-L37-L17*(Productos!$F5+Productos!$I5+Productos!$J5)-Productos!$G5*(1+Supuestos!$E$12)^L$4-Productos!$H5*(1+Supuestos!$E$12)^L$4-L17/(1+Supuestos!$E$16*Supuestos!$E$17)*Productos!$K5</f>
        <v>9448.08636519473</v>
      </c>
      <c r="M47" s="22" t="n">
        <f aca="false">M17/(1+Supuestos!$E$16*Supuestos!$E$17)-M37-M17*(Productos!$F5+Productos!$I5+Productos!$J5)-Productos!$G5*(1+Supuestos!$E$12)^M$4-Productos!$H5*(1+Supuestos!$E$12)^M$4-M17/(1+Supuestos!$E$16*Supuestos!$E$17)*Productos!$K5</f>
        <v>9564.30906787621</v>
      </c>
      <c r="N47" s="22" t="n">
        <f aca="false">N17/(1+Supuestos!$E$16*Supuestos!$E$17)-N37-N17*(Productos!$F5+Productos!$I5+Productos!$J5)-Productos!$G5*(1+Supuestos!$E$12)^N$4-Productos!$H5*(1+Supuestos!$E$12)^N$4-N17/(1+Supuestos!$E$16*Supuestos!$E$17)*Productos!$K5</f>
        <v>9681.75303695964</v>
      </c>
      <c r="O47" s="13"/>
    </row>
    <row r="48" customFormat="false" ht="15" hidden="false" customHeight="false" outlineLevel="0" collapsed="false">
      <c r="A48" s="2" t="s">
        <v>98</v>
      </c>
      <c r="B48" s="6" t="str">
        <f aca="false">IF(Productos!$A6="","",Productos!$A6)</f>
        <v>Ejemplo: producto nacional</v>
      </c>
      <c r="C48" s="22" t="n">
        <f aca="false">C18/(1+Supuestos!$E$16*Supuestos!$E$17)-C38-C18*(Productos!$F6+Productos!$I6+Productos!$J6)-Productos!$G6*(1+Supuestos!$E$12)^C$4-Productos!$H6*(1+Supuestos!$E$12)^C$4-C18/(1+Supuestos!$E$16*Supuestos!$E$17)*Productos!$K6</f>
        <v>2852.59339033135</v>
      </c>
      <c r="D48" s="22" t="n">
        <f aca="false">D18/(1+Supuestos!$E$16*Supuestos!$E$17)-D38-D18*(Productos!$F6+Productos!$I6+Productos!$J6)-Productos!$G6*(1+Supuestos!$E$12)^D$4-Productos!$H6*(1+Supuestos!$E$12)^D$4-D18/(1+Supuestos!$E$16*Supuestos!$E$17)*Productos!$K6</f>
        <v>2895.22592539764</v>
      </c>
      <c r="E48" s="22" t="n">
        <f aca="false">E18/(1+Supuestos!$E$16*Supuestos!$E$17)-E38-E18*(Productos!$F6+Productos!$I6+Productos!$J6)-Productos!$G6*(1+Supuestos!$E$12)^E$4-Productos!$H6*(1+Supuestos!$E$12)^E$4-E18/(1+Supuestos!$E$16*Supuestos!$E$17)*Productos!$K6</f>
        <v>2938.48499480151</v>
      </c>
      <c r="F48" s="22" t="n">
        <f aca="false">F18/(1+Supuestos!$E$16*Supuestos!$E$17)-F38-F18*(Productos!$F6+Productos!$I6+Productos!$J6)-Productos!$G6*(1+Supuestos!$E$12)^F$4-Productos!$H6*(1+Supuestos!$E$12)^F$4-F18/(1+Supuestos!$E$16*Supuestos!$E$17)*Productos!$K6</f>
        <v>2982.37959931583</v>
      </c>
      <c r="G48" s="22" t="n">
        <f aca="false">G18/(1+Supuestos!$E$16*Supuestos!$E$17)-G38-G18*(Productos!$F6+Productos!$I6+Productos!$J6)-Productos!$G6*(1+Supuestos!$E$12)^G$4-Productos!$H6*(1+Supuestos!$E$12)^G$4-G18/(1+Supuestos!$E$16*Supuestos!$E$17)*Productos!$K6</f>
        <v>3026.91886491901</v>
      </c>
      <c r="H48" s="22" t="n">
        <f aca="false">H18/(1+Supuestos!$E$16*Supuestos!$E$17)-H38-H18*(Productos!$F6+Productos!$I6+Productos!$J6)-Productos!$G6*(1+Supuestos!$E$12)^H$4-Productos!$H6*(1+Supuestos!$E$12)^H$4-H18/(1+Supuestos!$E$16*Supuestos!$E$17)*Productos!$K6</f>
        <v>3072.11204445353</v>
      </c>
      <c r="I48" s="22" t="n">
        <f aca="false">I18/(1+Supuestos!$E$16*Supuestos!$E$17)-I38-I18*(Productos!$F6+Productos!$I6+Productos!$J6)-Productos!$G6*(1+Supuestos!$E$12)^I$4-Productos!$H6*(1+Supuestos!$E$12)^I$4-I18/(1+Supuestos!$E$16*Supuestos!$E$17)*Productos!$K6</f>
        <v>3117.96851930476</v>
      </c>
      <c r="J48" s="22" t="n">
        <f aca="false">J18/(1+Supuestos!$E$16*Supuestos!$E$17)-J38-J18*(Productos!$F6+Productos!$I6+Productos!$J6)-Productos!$G6*(1+Supuestos!$E$12)^J$4-Productos!$H6*(1+Supuestos!$E$12)^J$4-J18/(1+Supuestos!$E$16*Supuestos!$E$17)*Productos!$K6</f>
        <v>3164.4978011002</v>
      </c>
      <c r="K48" s="22" t="n">
        <f aca="false">K18/(1+Supuestos!$E$16*Supuestos!$E$17)-K38-K18*(Productos!$F6+Productos!$I6+Productos!$J6)-Productos!$G6*(1+Supuestos!$E$12)^K$4-Productos!$H6*(1+Supuestos!$E$12)^K$4-K18/(1+Supuestos!$E$16*Supuestos!$E$17)*Productos!$K6</f>
        <v>3211.70953342941</v>
      </c>
      <c r="L48" s="22" t="n">
        <f aca="false">L18/(1+Supuestos!$E$16*Supuestos!$E$17)-L38-L18*(Productos!$F6+Productos!$I6+Productos!$J6)-Productos!$G6*(1+Supuestos!$E$12)^L$4-Productos!$H6*(1+Supuestos!$E$12)^L$4-L18/(1+Supuestos!$E$16*Supuestos!$E$17)*Productos!$K6</f>
        <v>3259.61349358474</v>
      </c>
      <c r="M48" s="22" t="n">
        <f aca="false">M18/(1+Supuestos!$E$16*Supuestos!$E$17)-M38-M18*(Productos!$F6+Productos!$I6+Productos!$J6)-Productos!$G6*(1+Supuestos!$E$12)^M$4-Productos!$H6*(1+Supuestos!$E$12)^M$4-M18/(1+Supuestos!$E$16*Supuestos!$E$17)*Productos!$K6</f>
        <v>3308.21959432313</v>
      </c>
      <c r="N48" s="22" t="n">
        <f aca="false">N18/(1+Supuestos!$E$16*Supuestos!$E$17)-N38-N18*(Productos!$F6+Productos!$I6+Productos!$J6)-Productos!$G6*(1+Supuestos!$E$12)^N$4-Productos!$H6*(1+Supuestos!$E$12)^N$4-N18/(1+Supuestos!$E$16*Supuestos!$E$17)*Productos!$K6</f>
        <v>3357.53788564933</v>
      </c>
      <c r="O48" s="13"/>
    </row>
    <row r="49" customFormat="false" ht="15" hidden="false" customHeight="false" outlineLevel="0" collapsed="false">
      <c r="A49" s="2" t="s">
        <v>98</v>
      </c>
      <c r="B49" s="6" t="str">
        <f aca="false">IF(Productos!$A7="","",Productos!$A7)</f>
        <v>Ejemplo: accesorio</v>
      </c>
      <c r="C49" s="22" t="n">
        <f aca="false">C19/(1+Supuestos!$E$16*Supuestos!$E$17)-C39-C19*(Productos!$F7+Productos!$I7+Productos!$J7)-Productos!$G7*(1+Supuestos!$E$12)^C$4-Productos!$H7*(1+Supuestos!$E$12)^C$4-C19/(1+Supuestos!$E$16*Supuestos!$E$17)*Productos!$K7</f>
        <v>3136.77995076416</v>
      </c>
      <c r="D49" s="22" t="n">
        <f aca="false">D19/(1+Supuestos!$E$16*Supuestos!$E$17)-D39-D19*(Productos!$F7+Productos!$I7+Productos!$J7)-Productos!$G7*(1+Supuestos!$E$12)^D$4-Productos!$H7*(1+Supuestos!$E$12)^D$4-D19/(1+Supuestos!$E$16*Supuestos!$E$17)*Productos!$K7</f>
        <v>3184.00258428672</v>
      </c>
      <c r="E49" s="22" t="n">
        <f aca="false">E19/(1+Supuestos!$E$16*Supuestos!$E$17)-E39-E19*(Productos!$F7+Productos!$I7+Productos!$J7)-Productos!$G7*(1+Supuestos!$E$12)^E$4-Productos!$H7*(1+Supuestos!$E$12)^E$4-E19/(1+Supuestos!$E$16*Supuestos!$E$17)*Productos!$K7</f>
        <v>3231.92589007866</v>
      </c>
      <c r="F49" s="22" t="n">
        <f aca="false">F19/(1+Supuestos!$E$16*Supuestos!$E$17)-F39-F19*(Productos!$F7+Productos!$I7+Productos!$J7)-Productos!$G7*(1+Supuestos!$E$12)^F$4-Productos!$H7*(1+Supuestos!$E$12)^F$4-F19/(1+Supuestos!$E$16*Supuestos!$E$17)*Productos!$K7</f>
        <v>3280.56006636713</v>
      </c>
      <c r="G49" s="22" t="n">
        <f aca="false">G19/(1+Supuestos!$E$16*Supuestos!$E$17)-G39-G19*(Productos!$F7+Productos!$I7+Productos!$J7)-Productos!$G7*(1+Supuestos!$E$12)^G$4-Productos!$H7*(1+Supuestos!$E$12)^G$4-G19/(1+Supuestos!$E$16*Supuestos!$E$17)*Productos!$K7</f>
        <v>3329.9154559257</v>
      </c>
      <c r="H49" s="22" t="n">
        <f aca="false">H19/(1+Supuestos!$E$16*Supuestos!$E$17)-H39-H19*(Productos!$F7+Productos!$I7+Productos!$J7)-Productos!$G7*(1+Supuestos!$E$12)^H$4-Productos!$H7*(1+Supuestos!$E$12)^H$4-H19/(1+Supuestos!$E$16*Supuestos!$E$17)*Productos!$K7</f>
        <v>3380.00254804537</v>
      </c>
      <c r="I49" s="22" t="n">
        <f aca="false">I19/(1+Supuestos!$E$16*Supuestos!$E$17)-I39-I19*(Productos!$F7+Productos!$I7+Productos!$J7)-Productos!$G7*(1+Supuestos!$E$12)^I$4-Productos!$H7*(1+Supuestos!$E$12)^I$4-I19/(1+Supuestos!$E$16*Supuestos!$E$17)*Productos!$K7</f>
        <v>3430.83198053078</v>
      </c>
      <c r="J49" s="22" t="n">
        <f aca="false">J19/(1+Supuestos!$E$16*Supuestos!$E$17)-J39-J19*(Productos!$F7+Productos!$I7+Productos!$J7)-Productos!$G7*(1+Supuestos!$E$12)^J$4-Productos!$H7*(1+Supuestos!$E$12)^J$4-J19/(1+Supuestos!$E$16*Supuestos!$E$17)*Productos!$K7</f>
        <v>3482.41454172201</v>
      </c>
      <c r="K49" s="22" t="n">
        <f aca="false">K19/(1+Supuestos!$E$16*Supuestos!$E$17)-K39-K19*(Productos!$F7+Productos!$I7+Productos!$J7)-Productos!$G7*(1+Supuestos!$E$12)^K$4-Productos!$H7*(1+Supuestos!$E$12)^K$4-K19/(1+Supuestos!$E$16*Supuestos!$E$17)*Productos!$K7</f>
        <v>3534.7611725423</v>
      </c>
      <c r="L49" s="22" t="n">
        <f aca="false">L19/(1+Supuestos!$E$16*Supuestos!$E$17)-L39-L19*(Productos!$F7+Productos!$I7+Productos!$J7)-Productos!$G7*(1+Supuestos!$E$12)^L$4-Productos!$H7*(1+Supuestos!$E$12)^L$4-L19/(1+Supuestos!$E$16*Supuestos!$E$17)*Productos!$K7</f>
        <v>3587.8829685718</v>
      </c>
      <c r="M49" s="22" t="n">
        <f aca="false">M19/(1+Supuestos!$E$16*Supuestos!$E$17)-M39-M19*(Productos!$F7+Productos!$I7+Productos!$J7)-Productos!$G7*(1+Supuestos!$E$12)^M$4-Productos!$H7*(1+Supuestos!$E$12)^M$4-M19/(1+Supuestos!$E$16*Supuestos!$E$17)*Productos!$K7</f>
        <v>3641.79118214791</v>
      </c>
      <c r="N49" s="22" t="n">
        <f aca="false">N19/(1+Supuestos!$E$16*Supuestos!$E$17)-N39-N19*(Productos!$F7+Productos!$I7+Productos!$J7)-Productos!$G7*(1+Supuestos!$E$12)^N$4-Productos!$H7*(1+Supuestos!$E$12)^N$4-N19/(1+Supuestos!$E$16*Supuestos!$E$17)*Productos!$K7</f>
        <v>3696.4972244923</v>
      </c>
      <c r="O49" s="13"/>
    </row>
    <row r="50" customFormat="false" ht="15" hidden="false" customHeight="false" outlineLevel="0" collapsed="false">
      <c r="A50" s="2" t="s">
        <v>98</v>
      </c>
      <c r="B50" s="6" t="str">
        <f aca="false">IF(Productos!$A8="","",Productos!$A8)</f>
        <v/>
      </c>
      <c r="C50" s="22" t="n">
        <f aca="false">C20/(1+Supuestos!$E$16*Supuestos!$E$17)-C40-C20*(Productos!$F8+Productos!$I8+Productos!$J8)-Productos!$G8*(1+Supuestos!$E$12)^C$4-Productos!$H8*(1+Supuestos!$E$12)^C$4-C20/(1+Supuestos!$E$16*Supuestos!$E$17)*Productos!$K8</f>
        <v>0</v>
      </c>
      <c r="D50" s="22" t="n">
        <f aca="false">D20/(1+Supuestos!$E$16*Supuestos!$E$17)-D40-D20*(Productos!$F8+Productos!$I8+Productos!$J8)-Productos!$G8*(1+Supuestos!$E$12)^D$4-Productos!$H8*(1+Supuestos!$E$12)^D$4-D20/(1+Supuestos!$E$16*Supuestos!$E$17)*Productos!$K8</f>
        <v>0</v>
      </c>
      <c r="E50" s="22" t="n">
        <f aca="false">E20/(1+Supuestos!$E$16*Supuestos!$E$17)-E40-E20*(Productos!$F8+Productos!$I8+Productos!$J8)-Productos!$G8*(1+Supuestos!$E$12)^E$4-Productos!$H8*(1+Supuestos!$E$12)^E$4-E20/(1+Supuestos!$E$16*Supuestos!$E$17)*Productos!$K8</f>
        <v>0</v>
      </c>
      <c r="F50" s="22" t="n">
        <f aca="false">F20/(1+Supuestos!$E$16*Supuestos!$E$17)-F40-F20*(Productos!$F8+Productos!$I8+Productos!$J8)-Productos!$G8*(1+Supuestos!$E$12)^F$4-Productos!$H8*(1+Supuestos!$E$12)^F$4-F20/(1+Supuestos!$E$16*Supuestos!$E$17)*Productos!$K8</f>
        <v>0</v>
      </c>
      <c r="G50" s="22" t="n">
        <f aca="false">G20/(1+Supuestos!$E$16*Supuestos!$E$17)-G40-G20*(Productos!$F8+Productos!$I8+Productos!$J8)-Productos!$G8*(1+Supuestos!$E$12)^G$4-Productos!$H8*(1+Supuestos!$E$12)^G$4-G20/(1+Supuestos!$E$16*Supuestos!$E$17)*Productos!$K8</f>
        <v>0</v>
      </c>
      <c r="H50" s="22" t="n">
        <f aca="false">H20/(1+Supuestos!$E$16*Supuestos!$E$17)-H40-H20*(Productos!$F8+Productos!$I8+Productos!$J8)-Productos!$G8*(1+Supuestos!$E$12)^H$4-Productos!$H8*(1+Supuestos!$E$12)^H$4-H20/(1+Supuestos!$E$16*Supuestos!$E$17)*Productos!$K8</f>
        <v>0</v>
      </c>
      <c r="I50" s="22" t="n">
        <f aca="false">I20/(1+Supuestos!$E$16*Supuestos!$E$17)-I40-I20*(Productos!$F8+Productos!$I8+Productos!$J8)-Productos!$G8*(1+Supuestos!$E$12)^I$4-Productos!$H8*(1+Supuestos!$E$12)^I$4-I20/(1+Supuestos!$E$16*Supuestos!$E$17)*Productos!$K8</f>
        <v>0</v>
      </c>
      <c r="J50" s="22" t="n">
        <f aca="false">J20/(1+Supuestos!$E$16*Supuestos!$E$17)-J40-J20*(Productos!$F8+Productos!$I8+Productos!$J8)-Productos!$G8*(1+Supuestos!$E$12)^J$4-Productos!$H8*(1+Supuestos!$E$12)^J$4-J20/(1+Supuestos!$E$16*Supuestos!$E$17)*Productos!$K8</f>
        <v>0</v>
      </c>
      <c r="K50" s="22" t="n">
        <f aca="false">K20/(1+Supuestos!$E$16*Supuestos!$E$17)-K40-K20*(Productos!$F8+Productos!$I8+Productos!$J8)-Productos!$G8*(1+Supuestos!$E$12)^K$4-Productos!$H8*(1+Supuestos!$E$12)^K$4-K20/(1+Supuestos!$E$16*Supuestos!$E$17)*Productos!$K8</f>
        <v>0</v>
      </c>
      <c r="L50" s="22" t="n">
        <f aca="false">L20/(1+Supuestos!$E$16*Supuestos!$E$17)-L40-L20*(Productos!$F8+Productos!$I8+Productos!$J8)-Productos!$G8*(1+Supuestos!$E$12)^L$4-Productos!$H8*(1+Supuestos!$E$12)^L$4-L20/(1+Supuestos!$E$16*Supuestos!$E$17)*Productos!$K8</f>
        <v>0</v>
      </c>
      <c r="M50" s="22" t="n">
        <f aca="false">M20/(1+Supuestos!$E$16*Supuestos!$E$17)-M40-M20*(Productos!$F8+Productos!$I8+Productos!$J8)-Productos!$G8*(1+Supuestos!$E$12)^M$4-Productos!$H8*(1+Supuestos!$E$12)^M$4-M20/(1+Supuestos!$E$16*Supuestos!$E$17)*Productos!$K8</f>
        <v>0</v>
      </c>
      <c r="N50" s="22" t="n">
        <f aca="false">N20/(1+Supuestos!$E$16*Supuestos!$E$17)-N40-N20*(Productos!$F8+Productos!$I8+Productos!$J8)-Productos!$G8*(1+Supuestos!$E$12)^N$4-Productos!$H8*(1+Supuestos!$E$12)^N$4-N20/(1+Supuestos!$E$16*Supuestos!$E$17)*Productos!$K8</f>
        <v>0</v>
      </c>
      <c r="O50" s="13"/>
    </row>
    <row r="51" customFormat="false" ht="15" hidden="false" customHeight="false" outlineLevel="0" collapsed="false">
      <c r="A51" s="2" t="s">
        <v>98</v>
      </c>
      <c r="B51" s="6" t="str">
        <f aca="false">IF(Productos!$A9="","",Productos!$A9)</f>
        <v/>
      </c>
      <c r="C51" s="22" t="n">
        <f aca="false">C21/(1+Supuestos!$E$16*Supuestos!$E$17)-C41-C21*(Productos!$F9+Productos!$I9+Productos!$J9)-Productos!$G9*(1+Supuestos!$E$12)^C$4-Productos!$H9*(1+Supuestos!$E$12)^C$4-C21/(1+Supuestos!$E$16*Supuestos!$E$17)*Productos!$K9</f>
        <v>0</v>
      </c>
      <c r="D51" s="22" t="n">
        <f aca="false">D21/(1+Supuestos!$E$16*Supuestos!$E$17)-D41-D21*(Productos!$F9+Productos!$I9+Productos!$J9)-Productos!$G9*(1+Supuestos!$E$12)^D$4-Productos!$H9*(1+Supuestos!$E$12)^D$4-D21/(1+Supuestos!$E$16*Supuestos!$E$17)*Productos!$K9</f>
        <v>0</v>
      </c>
      <c r="E51" s="22" t="n">
        <f aca="false">E21/(1+Supuestos!$E$16*Supuestos!$E$17)-E41-E21*(Productos!$F9+Productos!$I9+Productos!$J9)-Productos!$G9*(1+Supuestos!$E$12)^E$4-Productos!$H9*(1+Supuestos!$E$12)^E$4-E21/(1+Supuestos!$E$16*Supuestos!$E$17)*Productos!$K9</f>
        <v>0</v>
      </c>
      <c r="F51" s="22" t="n">
        <f aca="false">F21/(1+Supuestos!$E$16*Supuestos!$E$17)-F41-F21*(Productos!$F9+Productos!$I9+Productos!$J9)-Productos!$G9*(1+Supuestos!$E$12)^F$4-Productos!$H9*(1+Supuestos!$E$12)^F$4-F21/(1+Supuestos!$E$16*Supuestos!$E$17)*Productos!$K9</f>
        <v>0</v>
      </c>
      <c r="G51" s="22" t="n">
        <f aca="false">G21/(1+Supuestos!$E$16*Supuestos!$E$17)-G41-G21*(Productos!$F9+Productos!$I9+Productos!$J9)-Productos!$G9*(1+Supuestos!$E$12)^G$4-Productos!$H9*(1+Supuestos!$E$12)^G$4-G21/(1+Supuestos!$E$16*Supuestos!$E$17)*Productos!$K9</f>
        <v>0</v>
      </c>
      <c r="H51" s="22" t="n">
        <f aca="false">H21/(1+Supuestos!$E$16*Supuestos!$E$17)-H41-H21*(Productos!$F9+Productos!$I9+Productos!$J9)-Productos!$G9*(1+Supuestos!$E$12)^H$4-Productos!$H9*(1+Supuestos!$E$12)^H$4-H21/(1+Supuestos!$E$16*Supuestos!$E$17)*Productos!$K9</f>
        <v>0</v>
      </c>
      <c r="I51" s="22" t="n">
        <f aca="false">I21/(1+Supuestos!$E$16*Supuestos!$E$17)-I41-I21*(Productos!$F9+Productos!$I9+Productos!$J9)-Productos!$G9*(1+Supuestos!$E$12)^I$4-Productos!$H9*(1+Supuestos!$E$12)^I$4-I21/(1+Supuestos!$E$16*Supuestos!$E$17)*Productos!$K9</f>
        <v>0</v>
      </c>
      <c r="J51" s="22" t="n">
        <f aca="false">J21/(1+Supuestos!$E$16*Supuestos!$E$17)-J41-J21*(Productos!$F9+Productos!$I9+Productos!$J9)-Productos!$G9*(1+Supuestos!$E$12)^J$4-Productos!$H9*(1+Supuestos!$E$12)^J$4-J21/(1+Supuestos!$E$16*Supuestos!$E$17)*Productos!$K9</f>
        <v>0</v>
      </c>
      <c r="K51" s="22" t="n">
        <f aca="false">K21/(1+Supuestos!$E$16*Supuestos!$E$17)-K41-K21*(Productos!$F9+Productos!$I9+Productos!$J9)-Productos!$G9*(1+Supuestos!$E$12)^K$4-Productos!$H9*(1+Supuestos!$E$12)^K$4-K21/(1+Supuestos!$E$16*Supuestos!$E$17)*Productos!$K9</f>
        <v>0</v>
      </c>
      <c r="L51" s="22" t="n">
        <f aca="false">L21/(1+Supuestos!$E$16*Supuestos!$E$17)-L41-L21*(Productos!$F9+Productos!$I9+Productos!$J9)-Productos!$G9*(1+Supuestos!$E$12)^L$4-Productos!$H9*(1+Supuestos!$E$12)^L$4-L21/(1+Supuestos!$E$16*Supuestos!$E$17)*Productos!$K9</f>
        <v>0</v>
      </c>
      <c r="M51" s="22" t="n">
        <f aca="false">M21/(1+Supuestos!$E$16*Supuestos!$E$17)-M41-M21*(Productos!$F9+Productos!$I9+Productos!$J9)-Productos!$G9*(1+Supuestos!$E$12)^M$4-Productos!$H9*(1+Supuestos!$E$12)^M$4-M21/(1+Supuestos!$E$16*Supuestos!$E$17)*Productos!$K9</f>
        <v>0</v>
      </c>
      <c r="N51" s="22" t="n">
        <f aca="false">N21/(1+Supuestos!$E$16*Supuestos!$E$17)-N41-N21*(Productos!$F9+Productos!$I9+Productos!$J9)-Productos!$G9*(1+Supuestos!$E$12)^N$4-Productos!$H9*(1+Supuestos!$E$12)^N$4-N21/(1+Supuestos!$E$16*Supuestos!$E$17)*Productos!$K9</f>
        <v>0</v>
      </c>
      <c r="O51" s="13"/>
    </row>
    <row r="52" customFormat="false" ht="15" hidden="false" customHeight="false" outlineLevel="0" collapsed="false">
      <c r="A52" s="2" t="s">
        <v>98</v>
      </c>
      <c r="B52" s="6" t="str">
        <f aca="false">IF(Productos!$A10="","",Productos!$A10)</f>
        <v/>
      </c>
      <c r="C52" s="22" t="n">
        <f aca="false">C22/(1+Supuestos!$E$16*Supuestos!$E$17)-C42-C22*(Productos!$F10+Productos!$I10+Productos!$J10)-Productos!$G10*(1+Supuestos!$E$12)^C$4-Productos!$H10*(1+Supuestos!$E$12)^C$4-C22/(1+Supuestos!$E$16*Supuestos!$E$17)*Productos!$K10</f>
        <v>0</v>
      </c>
      <c r="D52" s="22" t="n">
        <f aca="false">D22/(1+Supuestos!$E$16*Supuestos!$E$17)-D42-D22*(Productos!$F10+Productos!$I10+Productos!$J10)-Productos!$G10*(1+Supuestos!$E$12)^D$4-Productos!$H10*(1+Supuestos!$E$12)^D$4-D22/(1+Supuestos!$E$16*Supuestos!$E$17)*Productos!$K10</f>
        <v>0</v>
      </c>
      <c r="E52" s="22" t="n">
        <f aca="false">E22/(1+Supuestos!$E$16*Supuestos!$E$17)-E42-E22*(Productos!$F10+Productos!$I10+Productos!$J10)-Productos!$G10*(1+Supuestos!$E$12)^E$4-Productos!$H10*(1+Supuestos!$E$12)^E$4-E22/(1+Supuestos!$E$16*Supuestos!$E$17)*Productos!$K10</f>
        <v>0</v>
      </c>
      <c r="F52" s="22" t="n">
        <f aca="false">F22/(1+Supuestos!$E$16*Supuestos!$E$17)-F42-F22*(Productos!$F10+Productos!$I10+Productos!$J10)-Productos!$G10*(1+Supuestos!$E$12)^F$4-Productos!$H10*(1+Supuestos!$E$12)^F$4-F22/(1+Supuestos!$E$16*Supuestos!$E$17)*Productos!$K10</f>
        <v>0</v>
      </c>
      <c r="G52" s="22" t="n">
        <f aca="false">G22/(1+Supuestos!$E$16*Supuestos!$E$17)-G42-G22*(Productos!$F10+Productos!$I10+Productos!$J10)-Productos!$G10*(1+Supuestos!$E$12)^G$4-Productos!$H10*(1+Supuestos!$E$12)^G$4-G22/(1+Supuestos!$E$16*Supuestos!$E$17)*Productos!$K10</f>
        <v>0</v>
      </c>
      <c r="H52" s="22" t="n">
        <f aca="false">H22/(1+Supuestos!$E$16*Supuestos!$E$17)-H42-H22*(Productos!$F10+Productos!$I10+Productos!$J10)-Productos!$G10*(1+Supuestos!$E$12)^H$4-Productos!$H10*(1+Supuestos!$E$12)^H$4-H22/(1+Supuestos!$E$16*Supuestos!$E$17)*Productos!$K10</f>
        <v>0</v>
      </c>
      <c r="I52" s="22" t="n">
        <f aca="false">I22/(1+Supuestos!$E$16*Supuestos!$E$17)-I42-I22*(Productos!$F10+Productos!$I10+Productos!$J10)-Productos!$G10*(1+Supuestos!$E$12)^I$4-Productos!$H10*(1+Supuestos!$E$12)^I$4-I22/(1+Supuestos!$E$16*Supuestos!$E$17)*Productos!$K10</f>
        <v>0</v>
      </c>
      <c r="J52" s="22" t="n">
        <f aca="false">J22/(1+Supuestos!$E$16*Supuestos!$E$17)-J42-J22*(Productos!$F10+Productos!$I10+Productos!$J10)-Productos!$G10*(1+Supuestos!$E$12)^J$4-Productos!$H10*(1+Supuestos!$E$12)^J$4-J22/(1+Supuestos!$E$16*Supuestos!$E$17)*Productos!$K10</f>
        <v>0</v>
      </c>
      <c r="K52" s="22" t="n">
        <f aca="false">K22/(1+Supuestos!$E$16*Supuestos!$E$17)-K42-K22*(Productos!$F10+Productos!$I10+Productos!$J10)-Productos!$G10*(1+Supuestos!$E$12)^K$4-Productos!$H10*(1+Supuestos!$E$12)^K$4-K22/(1+Supuestos!$E$16*Supuestos!$E$17)*Productos!$K10</f>
        <v>0</v>
      </c>
      <c r="L52" s="22" t="n">
        <f aca="false">L22/(1+Supuestos!$E$16*Supuestos!$E$17)-L42-L22*(Productos!$F10+Productos!$I10+Productos!$J10)-Productos!$G10*(1+Supuestos!$E$12)^L$4-Productos!$H10*(1+Supuestos!$E$12)^L$4-L22/(1+Supuestos!$E$16*Supuestos!$E$17)*Productos!$K10</f>
        <v>0</v>
      </c>
      <c r="M52" s="22" t="n">
        <f aca="false">M22/(1+Supuestos!$E$16*Supuestos!$E$17)-M42-M22*(Productos!$F10+Productos!$I10+Productos!$J10)-Productos!$G10*(1+Supuestos!$E$12)^M$4-Productos!$H10*(1+Supuestos!$E$12)^M$4-M22/(1+Supuestos!$E$16*Supuestos!$E$17)*Productos!$K10</f>
        <v>0</v>
      </c>
      <c r="N52" s="22" t="n">
        <f aca="false">N22/(1+Supuestos!$E$16*Supuestos!$E$17)-N42-N22*(Productos!$F10+Productos!$I10+Productos!$J10)-Productos!$G10*(1+Supuestos!$E$12)^N$4-Productos!$H10*(1+Supuestos!$E$12)^N$4-N22/(1+Supuestos!$E$16*Supuestos!$E$17)*Productos!$K10</f>
        <v>0</v>
      </c>
      <c r="O52" s="13"/>
    </row>
    <row r="53" customFormat="false" ht="15" hidden="false" customHeight="false" outlineLevel="0" collapsed="false">
      <c r="A53" s="2" t="s">
        <v>98</v>
      </c>
      <c r="B53" s="6" t="str">
        <f aca="false">IF(Productos!$A11="","",Productos!$A11)</f>
        <v/>
      </c>
      <c r="C53" s="22" t="n">
        <f aca="false">C23/(1+Supuestos!$E$16*Supuestos!$E$17)-C43-C23*(Productos!$F11+Productos!$I11+Productos!$J11)-Productos!$G11*(1+Supuestos!$E$12)^C$4-Productos!$H11*(1+Supuestos!$E$12)^C$4-C23/(1+Supuestos!$E$16*Supuestos!$E$17)*Productos!$K11</f>
        <v>0</v>
      </c>
      <c r="D53" s="22" t="n">
        <f aca="false">D23/(1+Supuestos!$E$16*Supuestos!$E$17)-D43-D23*(Productos!$F11+Productos!$I11+Productos!$J11)-Productos!$G11*(1+Supuestos!$E$12)^D$4-Productos!$H11*(1+Supuestos!$E$12)^D$4-D23/(1+Supuestos!$E$16*Supuestos!$E$17)*Productos!$K11</f>
        <v>0</v>
      </c>
      <c r="E53" s="22" t="n">
        <f aca="false">E23/(1+Supuestos!$E$16*Supuestos!$E$17)-E43-E23*(Productos!$F11+Productos!$I11+Productos!$J11)-Productos!$G11*(1+Supuestos!$E$12)^E$4-Productos!$H11*(1+Supuestos!$E$12)^E$4-E23/(1+Supuestos!$E$16*Supuestos!$E$17)*Productos!$K11</f>
        <v>0</v>
      </c>
      <c r="F53" s="22" t="n">
        <f aca="false">F23/(1+Supuestos!$E$16*Supuestos!$E$17)-F43-F23*(Productos!$F11+Productos!$I11+Productos!$J11)-Productos!$G11*(1+Supuestos!$E$12)^F$4-Productos!$H11*(1+Supuestos!$E$12)^F$4-F23/(1+Supuestos!$E$16*Supuestos!$E$17)*Productos!$K11</f>
        <v>0</v>
      </c>
      <c r="G53" s="22" t="n">
        <f aca="false">G23/(1+Supuestos!$E$16*Supuestos!$E$17)-G43-G23*(Productos!$F11+Productos!$I11+Productos!$J11)-Productos!$G11*(1+Supuestos!$E$12)^G$4-Productos!$H11*(1+Supuestos!$E$12)^G$4-G23/(1+Supuestos!$E$16*Supuestos!$E$17)*Productos!$K11</f>
        <v>0</v>
      </c>
      <c r="H53" s="22" t="n">
        <f aca="false">H23/(1+Supuestos!$E$16*Supuestos!$E$17)-H43-H23*(Productos!$F11+Productos!$I11+Productos!$J11)-Productos!$G11*(1+Supuestos!$E$12)^H$4-Productos!$H11*(1+Supuestos!$E$12)^H$4-H23/(1+Supuestos!$E$16*Supuestos!$E$17)*Productos!$K11</f>
        <v>0</v>
      </c>
      <c r="I53" s="22" t="n">
        <f aca="false">I23/(1+Supuestos!$E$16*Supuestos!$E$17)-I43-I23*(Productos!$F11+Productos!$I11+Productos!$J11)-Productos!$G11*(1+Supuestos!$E$12)^I$4-Productos!$H11*(1+Supuestos!$E$12)^I$4-I23/(1+Supuestos!$E$16*Supuestos!$E$17)*Productos!$K11</f>
        <v>0</v>
      </c>
      <c r="J53" s="22" t="n">
        <f aca="false">J23/(1+Supuestos!$E$16*Supuestos!$E$17)-J43-J23*(Productos!$F11+Productos!$I11+Productos!$J11)-Productos!$G11*(1+Supuestos!$E$12)^J$4-Productos!$H11*(1+Supuestos!$E$12)^J$4-J23/(1+Supuestos!$E$16*Supuestos!$E$17)*Productos!$K11</f>
        <v>0</v>
      </c>
      <c r="K53" s="22" t="n">
        <f aca="false">K23/(1+Supuestos!$E$16*Supuestos!$E$17)-K43-K23*(Productos!$F11+Productos!$I11+Productos!$J11)-Productos!$G11*(1+Supuestos!$E$12)^K$4-Productos!$H11*(1+Supuestos!$E$12)^K$4-K23/(1+Supuestos!$E$16*Supuestos!$E$17)*Productos!$K11</f>
        <v>0</v>
      </c>
      <c r="L53" s="22" t="n">
        <f aca="false">L23/(1+Supuestos!$E$16*Supuestos!$E$17)-L43-L23*(Productos!$F11+Productos!$I11+Productos!$J11)-Productos!$G11*(1+Supuestos!$E$12)^L$4-Productos!$H11*(1+Supuestos!$E$12)^L$4-L23/(1+Supuestos!$E$16*Supuestos!$E$17)*Productos!$K11</f>
        <v>0</v>
      </c>
      <c r="M53" s="22" t="n">
        <f aca="false">M23/(1+Supuestos!$E$16*Supuestos!$E$17)-M43-M23*(Productos!$F11+Productos!$I11+Productos!$J11)-Productos!$G11*(1+Supuestos!$E$12)^M$4-Productos!$H11*(1+Supuestos!$E$12)^M$4-M23/(1+Supuestos!$E$16*Supuestos!$E$17)*Productos!$K11</f>
        <v>0</v>
      </c>
      <c r="N53" s="22" t="n">
        <f aca="false">N23/(1+Supuestos!$E$16*Supuestos!$E$17)-N43-N23*(Productos!$F11+Productos!$I11+Productos!$J11)-Productos!$G11*(1+Supuestos!$E$12)^N$4-Productos!$H11*(1+Supuestos!$E$12)^N$4-N23/(1+Supuestos!$E$16*Supuestos!$E$17)*Productos!$K11</f>
        <v>0</v>
      </c>
      <c r="O53" s="13"/>
    </row>
    <row r="54" customFormat="false" ht="15" hidden="false" customHeight="false" outlineLevel="0" collapsed="false">
      <c r="A54" s="2" t="s">
        <v>98</v>
      </c>
      <c r="B54" s="6" t="str">
        <f aca="false">IF(Productos!$A12="","",Productos!$A12)</f>
        <v/>
      </c>
      <c r="C54" s="22" t="n">
        <f aca="false">C24/(1+Supuestos!$E$16*Supuestos!$E$17)-C44-C24*(Productos!$F12+Productos!$I12+Productos!$J12)-Productos!$G12*(1+Supuestos!$E$12)^C$4-Productos!$H12*(1+Supuestos!$E$12)^C$4-C24/(1+Supuestos!$E$16*Supuestos!$E$17)*Productos!$K12</f>
        <v>0</v>
      </c>
      <c r="D54" s="22" t="n">
        <f aca="false">D24/(1+Supuestos!$E$16*Supuestos!$E$17)-D44-D24*(Productos!$F12+Productos!$I12+Productos!$J12)-Productos!$G12*(1+Supuestos!$E$12)^D$4-Productos!$H12*(1+Supuestos!$E$12)^D$4-D24/(1+Supuestos!$E$16*Supuestos!$E$17)*Productos!$K12</f>
        <v>0</v>
      </c>
      <c r="E54" s="22" t="n">
        <f aca="false">E24/(1+Supuestos!$E$16*Supuestos!$E$17)-E44-E24*(Productos!$F12+Productos!$I12+Productos!$J12)-Productos!$G12*(1+Supuestos!$E$12)^E$4-Productos!$H12*(1+Supuestos!$E$12)^E$4-E24/(1+Supuestos!$E$16*Supuestos!$E$17)*Productos!$K12</f>
        <v>0</v>
      </c>
      <c r="F54" s="22" t="n">
        <f aca="false">F24/(1+Supuestos!$E$16*Supuestos!$E$17)-F44-F24*(Productos!$F12+Productos!$I12+Productos!$J12)-Productos!$G12*(1+Supuestos!$E$12)^F$4-Productos!$H12*(1+Supuestos!$E$12)^F$4-F24/(1+Supuestos!$E$16*Supuestos!$E$17)*Productos!$K12</f>
        <v>0</v>
      </c>
      <c r="G54" s="22" t="n">
        <f aca="false">G24/(1+Supuestos!$E$16*Supuestos!$E$17)-G44-G24*(Productos!$F12+Productos!$I12+Productos!$J12)-Productos!$G12*(1+Supuestos!$E$12)^G$4-Productos!$H12*(1+Supuestos!$E$12)^G$4-G24/(1+Supuestos!$E$16*Supuestos!$E$17)*Productos!$K12</f>
        <v>0</v>
      </c>
      <c r="H54" s="22" t="n">
        <f aca="false">H24/(1+Supuestos!$E$16*Supuestos!$E$17)-H44-H24*(Productos!$F12+Productos!$I12+Productos!$J12)-Productos!$G12*(1+Supuestos!$E$12)^H$4-Productos!$H12*(1+Supuestos!$E$12)^H$4-H24/(1+Supuestos!$E$16*Supuestos!$E$17)*Productos!$K12</f>
        <v>0</v>
      </c>
      <c r="I54" s="22" t="n">
        <f aca="false">I24/(1+Supuestos!$E$16*Supuestos!$E$17)-I44-I24*(Productos!$F12+Productos!$I12+Productos!$J12)-Productos!$G12*(1+Supuestos!$E$12)^I$4-Productos!$H12*(1+Supuestos!$E$12)^I$4-I24/(1+Supuestos!$E$16*Supuestos!$E$17)*Productos!$K12</f>
        <v>0</v>
      </c>
      <c r="J54" s="22" t="n">
        <f aca="false">J24/(1+Supuestos!$E$16*Supuestos!$E$17)-J44-J24*(Productos!$F12+Productos!$I12+Productos!$J12)-Productos!$G12*(1+Supuestos!$E$12)^J$4-Productos!$H12*(1+Supuestos!$E$12)^J$4-J24/(1+Supuestos!$E$16*Supuestos!$E$17)*Productos!$K12</f>
        <v>0</v>
      </c>
      <c r="K54" s="22" t="n">
        <f aca="false">K24/(1+Supuestos!$E$16*Supuestos!$E$17)-K44-K24*(Productos!$F12+Productos!$I12+Productos!$J12)-Productos!$G12*(1+Supuestos!$E$12)^K$4-Productos!$H12*(1+Supuestos!$E$12)^K$4-K24/(1+Supuestos!$E$16*Supuestos!$E$17)*Productos!$K12</f>
        <v>0</v>
      </c>
      <c r="L54" s="22" t="n">
        <f aca="false">L24/(1+Supuestos!$E$16*Supuestos!$E$17)-L44-L24*(Productos!$F12+Productos!$I12+Productos!$J12)-Productos!$G12*(1+Supuestos!$E$12)^L$4-Productos!$H12*(1+Supuestos!$E$12)^L$4-L24/(1+Supuestos!$E$16*Supuestos!$E$17)*Productos!$K12</f>
        <v>0</v>
      </c>
      <c r="M54" s="22" t="n">
        <f aca="false">M24/(1+Supuestos!$E$16*Supuestos!$E$17)-M44-M24*(Productos!$F12+Productos!$I12+Productos!$J12)-Productos!$G12*(1+Supuestos!$E$12)^M$4-Productos!$H12*(1+Supuestos!$E$12)^M$4-M24/(1+Supuestos!$E$16*Supuestos!$E$17)*Productos!$K12</f>
        <v>0</v>
      </c>
      <c r="N54" s="22" t="n">
        <f aca="false">N24/(1+Supuestos!$E$16*Supuestos!$E$17)-N44-N24*(Productos!$F12+Productos!$I12+Productos!$J12)-Productos!$G12*(1+Supuestos!$E$12)^N$4-Productos!$H12*(1+Supuestos!$E$12)^N$4-N24/(1+Supuestos!$E$16*Supuestos!$E$17)*Productos!$K12</f>
        <v>0</v>
      </c>
      <c r="O54" s="13"/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customFormat="false" ht="15" hidden="false" customHeight="false" outlineLevel="0" collapsed="false">
      <c r="A56" s="18" t="s">
        <v>99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customFormat="false" ht="15" hidden="false" customHeight="false" outlineLevel="0" collapsed="false">
      <c r="A57" s="2" t="s">
        <v>99</v>
      </c>
      <c r="B57" s="6" t="str">
        <f aca="false">IF(Productos!$A5="","",Productos!$A5)</f>
        <v>Ejemplo: producto importado</v>
      </c>
      <c r="C57" s="22" t="n">
        <f aca="false">C7*C47</f>
        <v>2199327.45492852</v>
      </c>
      <c r="D57" s="22" t="n">
        <f aca="false">D7*D47</f>
        <v>2226793.62464619</v>
      </c>
      <c r="E57" s="22" t="n">
        <f aca="false">E7*E47</f>
        <v>2519800.29408578</v>
      </c>
      <c r="F57" s="22" t="n">
        <f aca="false">F7*F47</f>
        <v>2551167.1669134</v>
      </c>
      <c r="G57" s="22" t="n">
        <f aca="false">G7*G47</f>
        <v>2990694.36884492</v>
      </c>
      <c r="H57" s="22" t="n">
        <f aca="false">H7*H47</f>
        <v>2752545.74028728</v>
      </c>
      <c r="I57" s="22" t="n">
        <f aca="false">I7*I47</f>
        <v>2647307.7144942</v>
      </c>
      <c r="J57" s="22" t="n">
        <f aca="false">J7*J47</f>
        <v>2821097.46588954</v>
      </c>
      <c r="K57" s="22" t="n">
        <f aca="false">K7*K47</f>
        <v>2713125.46911802</v>
      </c>
      <c r="L57" s="22" t="n">
        <f aca="false">L7*L47</f>
        <v>3035670.14913707</v>
      </c>
      <c r="M57" s="22" t="n">
        <f aca="false">M7*M47</f>
        <v>3512014.28972415</v>
      </c>
      <c r="N57" s="22" t="n">
        <f aca="false">N7*N47</f>
        <v>3407008.8937061</v>
      </c>
      <c r="O57" s="13" t="n">
        <f aca="false">SUM(C57:N57)</f>
        <v>33376552.6317752</v>
      </c>
    </row>
    <row r="58" customFormat="false" ht="15" hidden="false" customHeight="false" outlineLevel="0" collapsed="false">
      <c r="A58" s="2" t="s">
        <v>99</v>
      </c>
      <c r="B58" s="6" t="str">
        <f aca="false">IF(Productos!$A6="","",Productos!$A6)</f>
        <v>Ejemplo: producto nacional</v>
      </c>
      <c r="C58" s="22" t="n">
        <f aca="false">C8*C48</f>
        <v>1175981.6251641</v>
      </c>
      <c r="D58" s="22" t="n">
        <f aca="false">D8*D48</f>
        <v>1193556.88774518</v>
      </c>
      <c r="E58" s="22" t="n">
        <f aca="false">E8*E48</f>
        <v>1353906.9613548</v>
      </c>
      <c r="F58" s="22" t="n">
        <f aca="false">F8*F48</f>
        <v>1374131.40038477</v>
      </c>
      <c r="G58" s="22" t="n">
        <f aca="false">G8*G48</f>
        <v>1614861.21443429</v>
      </c>
      <c r="H58" s="22" t="n">
        <f aca="false">H8*H48</f>
        <v>1489974.34155996</v>
      </c>
      <c r="I58" s="22" t="n">
        <f aca="false">I8*I48</f>
        <v>1436603.99526967</v>
      </c>
      <c r="J58" s="22" t="n">
        <f aca="false">J8*J48</f>
        <v>1534781.4335336</v>
      </c>
      <c r="K58" s="22" t="n">
        <f aca="false">K8*K48</f>
        <v>1479795.1675276</v>
      </c>
      <c r="L58" s="22" t="n">
        <f aca="false">L8*L48</f>
        <v>1659958.17160803</v>
      </c>
      <c r="M58" s="22" t="n">
        <f aca="false">M8*M48</f>
        <v>1925383.80389606</v>
      </c>
      <c r="N58" s="22" t="n">
        <f aca="false">N8*N48</f>
        <v>1872666.75572091</v>
      </c>
      <c r="O58" s="13" t="n">
        <f aca="false">SUM(C58:N58)</f>
        <v>18111601.758199</v>
      </c>
    </row>
    <row r="59" customFormat="false" ht="15" hidden="false" customHeight="false" outlineLevel="0" collapsed="false">
      <c r="A59" s="2" t="s">
        <v>99</v>
      </c>
      <c r="B59" s="6" t="str">
        <f aca="false">IF(Productos!$A7="","",Productos!$A7)</f>
        <v>Ejemplo: accesorio</v>
      </c>
      <c r="C59" s="22" t="n">
        <f aca="false">C9*C49</f>
        <v>2282321.092176</v>
      </c>
      <c r="D59" s="22" t="n">
        <f aca="false">D9*D49</f>
        <v>2316680.28032702</v>
      </c>
      <c r="E59" s="22" t="n">
        <f aca="false">E9*E49</f>
        <v>2628202.13381197</v>
      </c>
      <c r="F59" s="22" t="n">
        <f aca="false">F9*F49</f>
        <v>2667751.44596975</v>
      </c>
      <c r="G59" s="22" t="n">
        <f aca="false">G9*G49</f>
        <v>3135448.39329964</v>
      </c>
      <c r="H59" s="22" t="n">
        <f aca="false">H9*H49</f>
        <v>2893282.18112684</v>
      </c>
      <c r="I59" s="22" t="n">
        <f aca="false">I9*I49</f>
        <v>2789952.56656763</v>
      </c>
      <c r="J59" s="22" t="n">
        <f aca="false">J9*J49</f>
        <v>2980946.84771404</v>
      </c>
      <c r="K59" s="22" t="n">
        <f aca="false">K9*K49</f>
        <v>2874467.78551139</v>
      </c>
      <c r="L59" s="22" t="n">
        <f aca="false">L9*L49</f>
        <v>3224789.21215233</v>
      </c>
      <c r="M59" s="22" t="n">
        <f aca="false">M9*M49</f>
        <v>3740847.90230233</v>
      </c>
      <c r="N59" s="22" t="n">
        <f aca="false">N9*N49</f>
        <v>3638831.86779022</v>
      </c>
      <c r="O59" s="13" t="n">
        <f aca="false">SUM(C59:N59)</f>
        <v>35173521.7087492</v>
      </c>
    </row>
    <row r="60" customFormat="false" ht="15" hidden="false" customHeight="false" outlineLevel="0" collapsed="false">
      <c r="A60" s="2" t="s">
        <v>99</v>
      </c>
      <c r="B60" s="6" t="str">
        <f aca="false">IF(Productos!$A8="","",Productos!$A8)</f>
        <v/>
      </c>
      <c r="C60" s="22" t="n">
        <f aca="false">C10*C50</f>
        <v>0</v>
      </c>
      <c r="D60" s="22" t="n">
        <f aca="false">D10*D50</f>
        <v>0</v>
      </c>
      <c r="E60" s="22" t="n">
        <f aca="false">E10*E50</f>
        <v>0</v>
      </c>
      <c r="F60" s="22" t="n">
        <f aca="false">F10*F50</f>
        <v>0</v>
      </c>
      <c r="G60" s="22" t="n">
        <f aca="false">G10*G50</f>
        <v>0</v>
      </c>
      <c r="H60" s="22" t="n">
        <f aca="false">H10*H50</f>
        <v>0</v>
      </c>
      <c r="I60" s="22" t="n">
        <f aca="false">I10*I50</f>
        <v>0</v>
      </c>
      <c r="J60" s="22" t="n">
        <f aca="false">J10*J50</f>
        <v>0</v>
      </c>
      <c r="K60" s="22" t="n">
        <f aca="false">K10*K50</f>
        <v>0</v>
      </c>
      <c r="L60" s="22" t="n">
        <f aca="false">L10*L50</f>
        <v>0</v>
      </c>
      <c r="M60" s="22" t="n">
        <f aca="false">M10*M50</f>
        <v>0</v>
      </c>
      <c r="N60" s="22" t="n">
        <f aca="false">N10*N50</f>
        <v>0</v>
      </c>
      <c r="O60" s="13" t="n">
        <f aca="false">SUM(C60:N60)</f>
        <v>0</v>
      </c>
    </row>
    <row r="61" customFormat="false" ht="15" hidden="false" customHeight="false" outlineLevel="0" collapsed="false">
      <c r="A61" s="2" t="s">
        <v>99</v>
      </c>
      <c r="B61" s="6" t="str">
        <f aca="false">IF(Productos!$A9="","",Productos!$A9)</f>
        <v/>
      </c>
      <c r="C61" s="22" t="n">
        <f aca="false">C11*C51</f>
        <v>0</v>
      </c>
      <c r="D61" s="22" t="n">
        <f aca="false">D11*D51</f>
        <v>0</v>
      </c>
      <c r="E61" s="22" t="n">
        <f aca="false">E11*E51</f>
        <v>0</v>
      </c>
      <c r="F61" s="22" t="n">
        <f aca="false">F11*F51</f>
        <v>0</v>
      </c>
      <c r="G61" s="22" t="n">
        <f aca="false">G11*G51</f>
        <v>0</v>
      </c>
      <c r="H61" s="22" t="n">
        <f aca="false">H11*H51</f>
        <v>0</v>
      </c>
      <c r="I61" s="22" t="n">
        <f aca="false">I11*I51</f>
        <v>0</v>
      </c>
      <c r="J61" s="22" t="n">
        <f aca="false">J11*J51</f>
        <v>0</v>
      </c>
      <c r="K61" s="22" t="n">
        <f aca="false">K11*K51</f>
        <v>0</v>
      </c>
      <c r="L61" s="22" t="n">
        <f aca="false">L11*L51</f>
        <v>0</v>
      </c>
      <c r="M61" s="22" t="n">
        <f aca="false">M11*M51</f>
        <v>0</v>
      </c>
      <c r="N61" s="22" t="n">
        <f aca="false">N11*N51</f>
        <v>0</v>
      </c>
      <c r="O61" s="13" t="n">
        <f aca="false">SUM(C61:N61)</f>
        <v>0</v>
      </c>
    </row>
    <row r="62" customFormat="false" ht="15" hidden="false" customHeight="false" outlineLevel="0" collapsed="false">
      <c r="A62" s="2" t="s">
        <v>99</v>
      </c>
      <c r="B62" s="6" t="str">
        <f aca="false">IF(Productos!$A10="","",Productos!$A10)</f>
        <v/>
      </c>
      <c r="C62" s="22" t="n">
        <f aca="false">C12*C52</f>
        <v>0</v>
      </c>
      <c r="D62" s="22" t="n">
        <f aca="false">D12*D52</f>
        <v>0</v>
      </c>
      <c r="E62" s="22" t="n">
        <f aca="false">E12*E52</f>
        <v>0</v>
      </c>
      <c r="F62" s="22" t="n">
        <f aca="false">F12*F52</f>
        <v>0</v>
      </c>
      <c r="G62" s="22" t="n">
        <f aca="false">G12*G52</f>
        <v>0</v>
      </c>
      <c r="H62" s="22" t="n">
        <f aca="false">H12*H52</f>
        <v>0</v>
      </c>
      <c r="I62" s="22" t="n">
        <f aca="false">I12*I52</f>
        <v>0</v>
      </c>
      <c r="J62" s="22" t="n">
        <f aca="false">J12*J52</f>
        <v>0</v>
      </c>
      <c r="K62" s="22" t="n">
        <f aca="false">K12*K52</f>
        <v>0</v>
      </c>
      <c r="L62" s="22" t="n">
        <f aca="false">L12*L52</f>
        <v>0</v>
      </c>
      <c r="M62" s="22" t="n">
        <f aca="false">M12*M52</f>
        <v>0</v>
      </c>
      <c r="N62" s="22" t="n">
        <f aca="false">N12*N52</f>
        <v>0</v>
      </c>
      <c r="O62" s="13" t="n">
        <f aca="false">SUM(C62:N62)</f>
        <v>0</v>
      </c>
    </row>
    <row r="63" customFormat="false" ht="15" hidden="false" customHeight="false" outlineLevel="0" collapsed="false">
      <c r="A63" s="2" t="s">
        <v>99</v>
      </c>
      <c r="B63" s="6" t="str">
        <f aca="false">IF(Productos!$A11="","",Productos!$A11)</f>
        <v/>
      </c>
      <c r="C63" s="22" t="n">
        <f aca="false">C13*C53</f>
        <v>0</v>
      </c>
      <c r="D63" s="22" t="n">
        <f aca="false">D13*D53</f>
        <v>0</v>
      </c>
      <c r="E63" s="22" t="n">
        <f aca="false">E13*E53</f>
        <v>0</v>
      </c>
      <c r="F63" s="22" t="n">
        <f aca="false">F13*F53</f>
        <v>0</v>
      </c>
      <c r="G63" s="22" t="n">
        <f aca="false">G13*G53</f>
        <v>0</v>
      </c>
      <c r="H63" s="22" t="n">
        <f aca="false">H13*H53</f>
        <v>0</v>
      </c>
      <c r="I63" s="22" t="n">
        <f aca="false">I13*I53</f>
        <v>0</v>
      </c>
      <c r="J63" s="22" t="n">
        <f aca="false">J13*J53</f>
        <v>0</v>
      </c>
      <c r="K63" s="22" t="n">
        <f aca="false">K13*K53</f>
        <v>0</v>
      </c>
      <c r="L63" s="22" t="n">
        <f aca="false">L13*L53</f>
        <v>0</v>
      </c>
      <c r="M63" s="22" t="n">
        <f aca="false">M13*M53</f>
        <v>0</v>
      </c>
      <c r="N63" s="22" t="n">
        <f aca="false">N13*N53</f>
        <v>0</v>
      </c>
      <c r="O63" s="13" t="n">
        <f aca="false">SUM(C63:N63)</f>
        <v>0</v>
      </c>
    </row>
    <row r="64" customFormat="false" ht="15" hidden="false" customHeight="false" outlineLevel="0" collapsed="false">
      <c r="A64" s="2" t="s">
        <v>99</v>
      </c>
      <c r="B64" s="6" t="str">
        <f aca="false">IF(Productos!$A12="","",Productos!$A12)</f>
        <v/>
      </c>
      <c r="C64" s="22" t="n">
        <f aca="false">C14*C54</f>
        <v>0</v>
      </c>
      <c r="D64" s="22" t="n">
        <f aca="false">D14*D54</f>
        <v>0</v>
      </c>
      <c r="E64" s="22" t="n">
        <f aca="false">E14*E54</f>
        <v>0</v>
      </c>
      <c r="F64" s="22" t="n">
        <f aca="false">F14*F54</f>
        <v>0</v>
      </c>
      <c r="G64" s="22" t="n">
        <f aca="false">G14*G54</f>
        <v>0</v>
      </c>
      <c r="H64" s="22" t="n">
        <f aca="false">H14*H54</f>
        <v>0</v>
      </c>
      <c r="I64" s="22" t="n">
        <f aca="false">I14*I54</f>
        <v>0</v>
      </c>
      <c r="J64" s="22" t="n">
        <f aca="false">J14*J54</f>
        <v>0</v>
      </c>
      <c r="K64" s="22" t="n">
        <f aca="false">K14*K54</f>
        <v>0</v>
      </c>
      <c r="L64" s="22" t="n">
        <f aca="false">L14*L54</f>
        <v>0</v>
      </c>
      <c r="M64" s="22" t="n">
        <f aca="false">M14*M54</f>
        <v>0</v>
      </c>
      <c r="N64" s="22" t="n">
        <f aca="false">N14*N54</f>
        <v>0</v>
      </c>
      <c r="O64" s="13" t="n">
        <f aca="false">SUM(C64:N64)</f>
        <v>0</v>
      </c>
    </row>
    <row r="65" customFormat="false" ht="15" hidden="false" customHeight="fals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customFormat="false" ht="15" hidden="false" customHeight="false" outlineLevel="0" collapsed="false">
      <c r="A66" s="18" t="s">
        <v>100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customFormat="false" ht="15" hidden="false" customHeight="false" outlineLevel="0" collapsed="false">
      <c r="A67" s="2" t="s">
        <v>100</v>
      </c>
      <c r="B67" s="6" t="str">
        <f aca="false">IF(Productos!$A5="","",Productos!$A5)</f>
        <v>Ejemplo: producto importado</v>
      </c>
      <c r="C67" s="23" t="n">
        <f aca="false">IFERROR(C47/C17,0)</f>
        <v>0.138688273408728</v>
      </c>
      <c r="D67" s="23" t="n">
        <f aca="false">IFERROR(D47/D17,0)</f>
        <v>0.138188296566694</v>
      </c>
      <c r="E67" s="23" t="n">
        <f aca="false">IFERROR(E47/E17,0)</f>
        <v>0.137687395592621</v>
      </c>
      <c r="F67" s="23" t="n">
        <f aca="false">IFERROR(F47/F17,0)</f>
        <v>0.137185568778391</v>
      </c>
      <c r="G67" s="23" t="n">
        <f aca="false">IFERROR(G47/G17,0)</f>
        <v>0.136682814412726</v>
      </c>
      <c r="H67" s="23" t="n">
        <f aca="false">IFERROR(H47/H17,0)</f>
        <v>0.136179130781189</v>
      </c>
      <c r="I67" s="23" t="n">
        <f aca="false">IFERROR(I47/I17,0)</f>
        <v>0.135674516166169</v>
      </c>
      <c r="J67" s="23" t="n">
        <f aca="false">IFERROR(J47/J17,0)</f>
        <v>0.135168968846885</v>
      </c>
      <c r="K67" s="23" t="n">
        <f aca="false">IFERROR(K47/K17,0)</f>
        <v>0.134662487099372</v>
      </c>
      <c r="L67" s="23" t="n">
        <f aca="false">IFERROR(L47/L17,0)</f>
        <v>0.134155069196481</v>
      </c>
      <c r="M67" s="23" t="n">
        <f aca="false">IFERROR(M47/M17,0)</f>
        <v>0.133646713407869</v>
      </c>
      <c r="N67" s="23" t="n">
        <f aca="false">IFERROR(N47/N17,0)</f>
        <v>0.133137417999995</v>
      </c>
      <c r="O67" s="10"/>
    </row>
    <row r="68" customFormat="false" ht="15" hidden="false" customHeight="false" outlineLevel="0" collapsed="false">
      <c r="A68" s="2" t="s">
        <v>100</v>
      </c>
      <c r="B68" s="6" t="str">
        <f aca="false">IF(Productos!$A6="","",Productos!$A6)</f>
        <v>Ejemplo: producto nacional</v>
      </c>
      <c r="C68" s="23" t="n">
        <f aca="false">IFERROR(C48/C18,0)</f>
        <v>0.100258981534415</v>
      </c>
      <c r="D68" s="23" t="n">
        <f aca="false">IFERROR(D48/D18,0)</f>
        <v>0.100139939429168</v>
      </c>
      <c r="E68" s="23" t="n">
        <f aca="false">IFERROR(E48/E18,0)</f>
        <v>0.100020677292484</v>
      </c>
      <c r="F68" s="23" t="n">
        <f aca="false">IFERROR(F48/F18,0)</f>
        <v>0.0999011947176674</v>
      </c>
      <c r="G68" s="23" t="n">
        <f aca="false">IFERROR(G48/G18,0)</f>
        <v>0.0997814912972712</v>
      </c>
      <c r="H68" s="23" t="n">
        <f aca="false">IFERROR(H48/H18,0)</f>
        <v>0.0996615666230955</v>
      </c>
      <c r="I68" s="23" t="n">
        <f aca="false">IFERROR(I48/I18,0)</f>
        <v>0.0995414202861861</v>
      </c>
      <c r="J68" s="23" t="n">
        <f aca="false">IFERROR(J48/J18,0)</f>
        <v>0.0994210518768328</v>
      </c>
      <c r="K68" s="23" t="n">
        <f aca="false">IFERROR(K48/K18,0)</f>
        <v>0.0993004609845678</v>
      </c>
      <c r="L68" s="23" t="n">
        <f aca="false">IFERROR(L48/L18,0)</f>
        <v>0.0991796471981653</v>
      </c>
      <c r="M68" s="23" t="n">
        <f aca="false">IFERROR(M48/M18,0)</f>
        <v>0.0990586101056385</v>
      </c>
      <c r="N68" s="23" t="n">
        <f aca="false">IFERROR(N48/N18,0)</f>
        <v>0.09893734929424</v>
      </c>
      <c r="O68" s="10"/>
    </row>
    <row r="69" customFormat="false" ht="15" hidden="false" customHeight="false" outlineLevel="0" collapsed="false">
      <c r="A69" s="2" t="s">
        <v>100</v>
      </c>
      <c r="B69" s="6" t="str">
        <f aca="false">IF(Productos!$A7="","",Productos!$A7)</f>
        <v>Ejemplo: accesorio</v>
      </c>
      <c r="C69" s="23" t="n">
        <f aca="false">IFERROR(C49/C19,0)</f>
        <v>0.257243408704267</v>
      </c>
      <c r="D69" s="23" t="n">
        <f aca="false">IFERROR(D49/D19,0)</f>
        <v>0.256965643792026</v>
      </c>
      <c r="E69" s="23" t="n">
        <f aca="false">IFERROR(E49/E19,0)</f>
        <v>0.256687365473097</v>
      </c>
      <c r="F69" s="23" t="n">
        <f aca="false">IFERROR(F49/F19,0)</f>
        <v>0.256408572798525</v>
      </c>
      <c r="G69" s="23" t="n">
        <f aca="false">IFERROR(G49/G19,0)</f>
        <v>0.2561292648176</v>
      </c>
      <c r="H69" s="23" t="n">
        <f aca="false">IFERROR(H49/H19,0)</f>
        <v>0.255849440577857</v>
      </c>
      <c r="I69" s="23" t="n">
        <f aca="false">IFERROR(I49/I19,0)</f>
        <v>0.255569099125068</v>
      </c>
      <c r="J69" s="23" t="n">
        <f aca="false">IFERROR(J49/J19,0)</f>
        <v>0.255288239503243</v>
      </c>
      <c r="K69" s="23" t="n">
        <f aca="false">IFERROR(K49/K19,0)</f>
        <v>0.255006860754625</v>
      </c>
      <c r="L69" s="23" t="n">
        <f aca="false">IFERROR(L49/L19,0)</f>
        <v>0.254724961919686</v>
      </c>
      <c r="M69" s="23" t="n">
        <f aca="false">IFERROR(M49/M19,0)</f>
        <v>0.254442542037123</v>
      </c>
      <c r="N69" s="23" t="n">
        <f aca="false">IFERROR(N49/N19,0)</f>
        <v>0.25415960014386</v>
      </c>
      <c r="O69" s="10"/>
    </row>
    <row r="70" customFormat="false" ht="15" hidden="false" customHeight="false" outlineLevel="0" collapsed="false">
      <c r="A70" s="2" t="s">
        <v>100</v>
      </c>
      <c r="B70" s="6" t="str">
        <f aca="false">IF(Productos!$A8="","",Productos!$A8)</f>
        <v/>
      </c>
      <c r="C70" s="23" t="n">
        <f aca="false">IFERROR(C50/C20,0)</f>
        <v>0</v>
      </c>
      <c r="D70" s="23" t="n">
        <f aca="false">IFERROR(D50/D20,0)</f>
        <v>0</v>
      </c>
      <c r="E70" s="23" t="n">
        <f aca="false">IFERROR(E50/E20,0)</f>
        <v>0</v>
      </c>
      <c r="F70" s="23" t="n">
        <f aca="false">IFERROR(F50/F20,0)</f>
        <v>0</v>
      </c>
      <c r="G70" s="23" t="n">
        <f aca="false">IFERROR(G50/G20,0)</f>
        <v>0</v>
      </c>
      <c r="H70" s="23" t="n">
        <f aca="false">IFERROR(H50/H20,0)</f>
        <v>0</v>
      </c>
      <c r="I70" s="23" t="n">
        <f aca="false">IFERROR(I50/I20,0)</f>
        <v>0</v>
      </c>
      <c r="J70" s="23" t="n">
        <f aca="false">IFERROR(J50/J20,0)</f>
        <v>0</v>
      </c>
      <c r="K70" s="23" t="n">
        <f aca="false">IFERROR(K50/K20,0)</f>
        <v>0</v>
      </c>
      <c r="L70" s="23" t="n">
        <f aca="false">IFERROR(L50/L20,0)</f>
        <v>0</v>
      </c>
      <c r="M70" s="23" t="n">
        <f aca="false">IFERROR(M50/M20,0)</f>
        <v>0</v>
      </c>
      <c r="N70" s="23" t="n">
        <f aca="false">IFERROR(N50/N20,0)</f>
        <v>0</v>
      </c>
      <c r="O70" s="10"/>
    </row>
    <row r="71" customFormat="false" ht="15" hidden="false" customHeight="false" outlineLevel="0" collapsed="false">
      <c r="A71" s="2" t="s">
        <v>100</v>
      </c>
      <c r="B71" s="6" t="str">
        <f aca="false">IF(Productos!$A9="","",Productos!$A9)</f>
        <v/>
      </c>
      <c r="C71" s="23" t="n">
        <f aca="false">IFERROR(C51/C21,0)</f>
        <v>0</v>
      </c>
      <c r="D71" s="23" t="n">
        <f aca="false">IFERROR(D51/D21,0)</f>
        <v>0</v>
      </c>
      <c r="E71" s="23" t="n">
        <f aca="false">IFERROR(E51/E21,0)</f>
        <v>0</v>
      </c>
      <c r="F71" s="23" t="n">
        <f aca="false">IFERROR(F51/F21,0)</f>
        <v>0</v>
      </c>
      <c r="G71" s="23" t="n">
        <f aca="false">IFERROR(G51/G21,0)</f>
        <v>0</v>
      </c>
      <c r="H71" s="23" t="n">
        <f aca="false">IFERROR(H51/H21,0)</f>
        <v>0</v>
      </c>
      <c r="I71" s="23" t="n">
        <f aca="false">IFERROR(I51/I21,0)</f>
        <v>0</v>
      </c>
      <c r="J71" s="23" t="n">
        <f aca="false">IFERROR(J51/J21,0)</f>
        <v>0</v>
      </c>
      <c r="K71" s="23" t="n">
        <f aca="false">IFERROR(K51/K21,0)</f>
        <v>0</v>
      </c>
      <c r="L71" s="23" t="n">
        <f aca="false">IFERROR(L51/L21,0)</f>
        <v>0</v>
      </c>
      <c r="M71" s="23" t="n">
        <f aca="false">IFERROR(M51/M21,0)</f>
        <v>0</v>
      </c>
      <c r="N71" s="23" t="n">
        <f aca="false">IFERROR(N51/N21,0)</f>
        <v>0</v>
      </c>
      <c r="O71" s="10"/>
    </row>
    <row r="72" customFormat="false" ht="15" hidden="false" customHeight="false" outlineLevel="0" collapsed="false">
      <c r="A72" s="2" t="s">
        <v>100</v>
      </c>
      <c r="B72" s="6" t="str">
        <f aca="false">IF(Productos!$A10="","",Productos!$A10)</f>
        <v/>
      </c>
      <c r="C72" s="23" t="n">
        <f aca="false">IFERROR(C52/C22,0)</f>
        <v>0</v>
      </c>
      <c r="D72" s="23" t="n">
        <f aca="false">IFERROR(D52/D22,0)</f>
        <v>0</v>
      </c>
      <c r="E72" s="23" t="n">
        <f aca="false">IFERROR(E52/E22,0)</f>
        <v>0</v>
      </c>
      <c r="F72" s="23" t="n">
        <f aca="false">IFERROR(F52/F22,0)</f>
        <v>0</v>
      </c>
      <c r="G72" s="23" t="n">
        <f aca="false">IFERROR(G52/G22,0)</f>
        <v>0</v>
      </c>
      <c r="H72" s="23" t="n">
        <f aca="false">IFERROR(H52/H22,0)</f>
        <v>0</v>
      </c>
      <c r="I72" s="23" t="n">
        <f aca="false">IFERROR(I52/I22,0)</f>
        <v>0</v>
      </c>
      <c r="J72" s="23" t="n">
        <f aca="false">IFERROR(J52/J22,0)</f>
        <v>0</v>
      </c>
      <c r="K72" s="23" t="n">
        <f aca="false">IFERROR(K52/K22,0)</f>
        <v>0</v>
      </c>
      <c r="L72" s="23" t="n">
        <f aca="false">IFERROR(L52/L22,0)</f>
        <v>0</v>
      </c>
      <c r="M72" s="23" t="n">
        <f aca="false">IFERROR(M52/M22,0)</f>
        <v>0</v>
      </c>
      <c r="N72" s="23" t="n">
        <f aca="false">IFERROR(N52/N22,0)</f>
        <v>0</v>
      </c>
      <c r="O72" s="10"/>
    </row>
    <row r="73" customFormat="false" ht="15" hidden="false" customHeight="false" outlineLevel="0" collapsed="false">
      <c r="A73" s="2" t="s">
        <v>100</v>
      </c>
      <c r="B73" s="6" t="str">
        <f aca="false">IF(Productos!$A11="","",Productos!$A11)</f>
        <v/>
      </c>
      <c r="C73" s="23" t="n">
        <f aca="false">IFERROR(C53/C23,0)</f>
        <v>0</v>
      </c>
      <c r="D73" s="23" t="n">
        <f aca="false">IFERROR(D53/D23,0)</f>
        <v>0</v>
      </c>
      <c r="E73" s="23" t="n">
        <f aca="false">IFERROR(E53/E23,0)</f>
        <v>0</v>
      </c>
      <c r="F73" s="23" t="n">
        <f aca="false">IFERROR(F53/F23,0)</f>
        <v>0</v>
      </c>
      <c r="G73" s="23" t="n">
        <f aca="false">IFERROR(G53/G23,0)</f>
        <v>0</v>
      </c>
      <c r="H73" s="23" t="n">
        <f aca="false">IFERROR(H53/H23,0)</f>
        <v>0</v>
      </c>
      <c r="I73" s="23" t="n">
        <f aca="false">IFERROR(I53/I23,0)</f>
        <v>0</v>
      </c>
      <c r="J73" s="23" t="n">
        <f aca="false">IFERROR(J53/J23,0)</f>
        <v>0</v>
      </c>
      <c r="K73" s="23" t="n">
        <f aca="false">IFERROR(K53/K23,0)</f>
        <v>0</v>
      </c>
      <c r="L73" s="23" t="n">
        <f aca="false">IFERROR(L53/L23,0)</f>
        <v>0</v>
      </c>
      <c r="M73" s="23" t="n">
        <f aca="false">IFERROR(M53/M23,0)</f>
        <v>0</v>
      </c>
      <c r="N73" s="23" t="n">
        <f aca="false">IFERROR(N53/N23,0)</f>
        <v>0</v>
      </c>
      <c r="O73" s="10"/>
    </row>
    <row r="74" customFormat="false" ht="15" hidden="false" customHeight="false" outlineLevel="0" collapsed="false">
      <c r="A74" s="2" t="s">
        <v>100</v>
      </c>
      <c r="B74" s="6" t="str">
        <f aca="false">IF(Productos!$A12="","",Productos!$A12)</f>
        <v/>
      </c>
      <c r="C74" s="23" t="n">
        <f aca="false">IFERROR(C54/C24,0)</f>
        <v>0</v>
      </c>
      <c r="D74" s="23" t="n">
        <f aca="false">IFERROR(D54/D24,0)</f>
        <v>0</v>
      </c>
      <c r="E74" s="23" t="n">
        <f aca="false">IFERROR(E54/E24,0)</f>
        <v>0</v>
      </c>
      <c r="F74" s="23" t="n">
        <f aca="false">IFERROR(F54/F24,0)</f>
        <v>0</v>
      </c>
      <c r="G74" s="23" t="n">
        <f aca="false">IFERROR(G54/G24,0)</f>
        <v>0</v>
      </c>
      <c r="H74" s="23" t="n">
        <f aca="false">IFERROR(H54/H24,0)</f>
        <v>0</v>
      </c>
      <c r="I74" s="23" t="n">
        <f aca="false">IFERROR(I54/I24,0)</f>
        <v>0</v>
      </c>
      <c r="J74" s="23" t="n">
        <f aca="false">IFERROR(J54/J24,0)</f>
        <v>0</v>
      </c>
      <c r="K74" s="23" t="n">
        <f aca="false">IFERROR(K54/K24,0)</f>
        <v>0</v>
      </c>
      <c r="L74" s="23" t="n">
        <f aca="false">IFERROR(L54/L24,0)</f>
        <v>0</v>
      </c>
      <c r="M74" s="23" t="n">
        <f aca="false">IFERROR(M54/M24,0)</f>
        <v>0</v>
      </c>
      <c r="N74" s="23" t="n">
        <f aca="false">IFERROR(N54/N24,0)</f>
        <v>0</v>
      </c>
      <c r="O74" s="10"/>
    </row>
    <row r="75" customFormat="false" ht="15" hidden="false" customHeight="fals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customFormat="false" ht="15" hidden="false" customHeight="false" outlineLevel="0" collapsed="false">
      <c r="A76" s="18" t="s">
        <v>101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customFormat="false" ht="15" hidden="false" customHeight="false" outlineLevel="0" collapsed="false">
      <c r="A77" s="2" t="s">
        <v>101</v>
      </c>
      <c r="B77" s="6" t="str">
        <f aca="false">IF(Productos!$A5="","",Productos!$A5)</f>
        <v>Ejemplo: producto importado</v>
      </c>
      <c r="C77" s="22" t="n">
        <f aca="false">C7*(C17*(Productos!$F5+Productos!$I5+Productos!$J5)+(Productos!$G5+Productos!$H5)*(1+Supuestos!$E$12)^C$4)</f>
        <v>5682472.77614789</v>
      </c>
      <c r="D77" s="22" t="n">
        <f aca="false">D7*(D17*(Productos!$F5+Productos!$I5+Productos!$J5)+(Productos!$G5+Productos!$H5)*(1+Supuestos!$E$12)^D$4)</f>
        <v>5774254.4194383</v>
      </c>
      <c r="E77" s="22" t="n">
        <f aca="false">E7*(E17*(Productos!$F5+Productos!$I5+Productos!$J5)+(Productos!$G5+Productos!$H5)*(1+Supuestos!$E$12)^E$4)</f>
        <v>6557814.78637004</v>
      </c>
      <c r="F77" s="22" t="n">
        <f aca="false">F7*(F17*(Productos!$F5+Productos!$I5+Productos!$J5)+(Productos!$G5+Productos!$H5)*(1+Supuestos!$E$12)^F$4)</f>
        <v>6663734.69856278</v>
      </c>
      <c r="G77" s="22" t="n">
        <f aca="false">G7*(G17*(Productos!$F5+Productos!$I5+Productos!$J5)+(Productos!$G5+Productos!$H5)*(1+Supuestos!$E$12)^G$4)</f>
        <v>7840528.35591631</v>
      </c>
      <c r="H77" s="22" t="n">
        <f aca="false">H7*(H17*(Productos!$F5+Productos!$I5+Productos!$J5)+(Productos!$G5+Productos!$H5)*(1+Supuestos!$E$12)^H$4)</f>
        <v>7242878.43968128</v>
      </c>
      <c r="I77" s="22" t="n">
        <f aca="false">I7*(I17*(Productos!$F5+Productos!$I5+Productos!$J5)+(Productos!$G5+Productos!$H5)*(1+Supuestos!$E$12)^I$4)</f>
        <v>6991870.13522805</v>
      </c>
      <c r="J77" s="22" t="n">
        <f aca="false">J7*(J17*(Productos!$F5+Productos!$I5+Productos!$J5)+(Productos!$G5+Productos!$H5)*(1+Supuestos!$E$12)^J$4)</f>
        <v>7478737.66615417</v>
      </c>
      <c r="K77" s="22" t="n">
        <f aca="false">K7*(K17*(Productos!$F5+Productos!$I5+Productos!$J5)+(Productos!$G5+Productos!$H5)*(1+Supuestos!$E$12)^K$4)</f>
        <v>7219555.45335501</v>
      </c>
      <c r="L77" s="22" t="n">
        <f aca="false">L7*(L17*(Productos!$F5+Productos!$I5+Productos!$J5)+(Productos!$G5+Productos!$H5)*(1+Supuestos!$E$12)^L$4)</f>
        <v>8108391.35603318</v>
      </c>
      <c r="M77" s="22" t="n">
        <f aca="false">M7*(M17*(Productos!$F5+Productos!$I5+Productos!$J5)+(Productos!$G5+Productos!$H5)*(1+Supuestos!$E$12)^M$4)</f>
        <v>9416406.54724138</v>
      </c>
      <c r="N77" s="22" t="n">
        <f aca="false">N7*(N17*(Productos!$F5+Productos!$I5+Productos!$J5)+(Productos!$G5+Productos!$H5)*(1+Supuestos!$E$12)^N$4)</f>
        <v>9169810.19999999</v>
      </c>
      <c r="O77" s="13" t="n">
        <f aca="false">SUM(C77:N77)</f>
        <v>88146454.8341284</v>
      </c>
    </row>
    <row r="78" customFormat="false" ht="15" hidden="false" customHeight="false" outlineLevel="0" collapsed="false">
      <c r="A78" s="2" t="s">
        <v>101</v>
      </c>
      <c r="B78" s="6" t="str">
        <f aca="false">IF(Productos!$A6="","",Productos!$A6)</f>
        <v>Ejemplo: producto nacional</v>
      </c>
      <c r="C78" s="22" t="n">
        <f aca="false">C8*(C18*(Productos!$F6+Productos!$I6+Productos!$J6)+(Productos!$G6+Productos!$H6)*(1+Supuestos!$E$12)^C$4)</f>
        <v>4406917.85962331</v>
      </c>
      <c r="D78" s="22" t="n">
        <f aca="false">D8*(D18*(Productos!$F6+Productos!$I6+Productos!$J6)+(Productos!$G6+Productos!$H6)*(1+Supuestos!$E$12)^D$4)</f>
        <v>4478097.11184954</v>
      </c>
      <c r="E78" s="22" t="n">
        <f aca="false">E8*(E18*(Productos!$F6+Productos!$I6+Productos!$J6)+(Productos!$G6+Productos!$H6)*(1+Supuestos!$E$12)^E$4)</f>
        <v>5085770.26949646</v>
      </c>
      <c r="F78" s="22" t="n">
        <f aca="false">F8*(F18*(Productos!$F6+Productos!$I6+Productos!$J6)+(Productos!$G6+Productos!$H6)*(1+Supuestos!$E$12)^F$4)</f>
        <v>5167914.14789588</v>
      </c>
      <c r="G78" s="22" t="n">
        <f aca="false">G8*(G18*(Productos!$F6+Productos!$I6+Productos!$J6)+(Productos!$G6+Productos!$H6)*(1+Supuestos!$E$12)^G$4)</f>
        <v>6080550.80978207</v>
      </c>
      <c r="H78" s="22" t="n">
        <f aca="false">H8*(H18*(Productos!$F6+Productos!$I6+Productos!$J6)+(Productos!$G6+Productos!$H6)*(1+Supuestos!$E$12)^H$4)</f>
        <v>5617056.44853957</v>
      </c>
      <c r="I78" s="22" t="n">
        <f aca="false">I8*(I18*(Productos!$F6+Productos!$I6+Productos!$J6)+(Productos!$G6+Productos!$H6)*(1+Supuestos!$E$12)^I$4)</f>
        <v>5422392.43106255</v>
      </c>
      <c r="J78" s="22" t="n">
        <f aca="false">J8*(J18*(Productos!$F6+Productos!$I6+Productos!$J6)+(Productos!$G6+Productos!$H6)*(1+Supuestos!$E$12)^J$4)</f>
        <v>5799971.92890284</v>
      </c>
      <c r="K78" s="22" t="n">
        <f aca="false">K8*(K18*(Productos!$F6+Productos!$I6+Productos!$J6)+(Productos!$G6+Productos!$H6)*(1+Supuestos!$E$12)^K$4)</f>
        <v>5598968.81503389</v>
      </c>
      <c r="L78" s="22" t="n">
        <f aca="false">L8*(L18*(Productos!$F6+Productos!$I6+Productos!$J6)+(Productos!$G6+Productos!$H6)*(1+Supuestos!$E$12)^L$4)</f>
        <v>6288286.11897743</v>
      </c>
      <c r="M78" s="22" t="n">
        <f aca="false">M8*(M18*(Productos!$F6+Productos!$I6+Productos!$J6)+(Productos!$G6+Productos!$H6)*(1+Supuestos!$E$12)^M$4)</f>
        <v>7302688.78026068</v>
      </c>
      <c r="N78" s="22" t="n">
        <f aca="false">N8*(N18*(Productos!$F6+Productos!$I6+Productos!$J6)+(Productos!$G6+Productos!$H6)*(1+Supuestos!$E$12)^N$4)</f>
        <v>7111446.35999999</v>
      </c>
      <c r="O78" s="13" t="n">
        <f aca="false">SUM(C78:N78)</f>
        <v>68360061.0814242</v>
      </c>
    </row>
    <row r="79" customFormat="false" ht="15" hidden="false" customHeight="false" outlineLevel="0" collapsed="false">
      <c r="A79" s="2" t="s">
        <v>101</v>
      </c>
      <c r="B79" s="6" t="str">
        <f aca="false">IF(Productos!$A7="","",Productos!$A7)</f>
        <v>Ejemplo: accesorio</v>
      </c>
      <c r="C79" s="22" t="n">
        <f aca="false">C9*(C19*(Productos!$F7+Productos!$I7+Productos!$J7)+(Productos!$G7+Productos!$H7)*(1+Supuestos!$E$12)^C$4)</f>
        <v>2572944.90095933</v>
      </c>
      <c r="D79" s="22" t="n">
        <f aca="false">D9*(D19*(Productos!$F7+Productos!$I7+Productos!$J7)+(Productos!$G7+Productos!$H7)*(1+Supuestos!$E$12)^D$4)</f>
        <v>2614502.35673756</v>
      </c>
      <c r="E79" s="22" t="n">
        <f aca="false">E9*(E19*(Productos!$F7+Productos!$I7+Productos!$J7)+(Productos!$G7+Productos!$H7)*(1+Supuestos!$E$12)^E$4)</f>
        <v>2969287.62894391</v>
      </c>
      <c r="F79" s="22" t="n">
        <f aca="false">F9*(F19*(Productos!$F7+Productos!$I7+Productos!$J7)+(Productos!$G7+Productos!$H7)*(1+Supuestos!$E$12)^F$4)</f>
        <v>3017246.69689234</v>
      </c>
      <c r="G79" s="22" t="n">
        <f aca="false">G9*(G19*(Productos!$F7+Productos!$I7+Productos!$J7)+(Productos!$G7+Productos!$H7)*(1+Supuestos!$E$12)^G$4)</f>
        <v>3550082.55188813</v>
      </c>
      <c r="H79" s="22" t="n">
        <f aca="false">H9*(H19*(Productos!$F7+Productos!$I7+Productos!$J7)+(Productos!$G7+Productos!$H7)*(1+Supuestos!$E$12)^H$4)</f>
        <v>3279474.95461282</v>
      </c>
      <c r="I79" s="22" t="n">
        <f aca="false">I9*(I19*(Productos!$F7+Productos!$I7+Productos!$J7)+(Productos!$G7+Productos!$H7)*(1+Supuestos!$E$12)^I$4)</f>
        <v>3165821.87390608</v>
      </c>
      <c r="J79" s="22" t="n">
        <f aca="false">J9*(J19*(Productos!$F7+Productos!$I7+Productos!$J7)+(Productos!$G7+Productos!$H7)*(1+Supuestos!$E$12)^J$4)</f>
        <v>3386268.74281096</v>
      </c>
      <c r="K79" s="22" t="n">
        <f aca="false">K9*(K19*(Productos!$F7+Productos!$I7+Productos!$J7)+(Productos!$G7+Productos!$H7)*(1+Supuestos!$E$12)^K$4)</f>
        <v>3268914.62971427</v>
      </c>
      <c r="L79" s="22" t="n">
        <f aca="false">L9*(L19*(Productos!$F7+Productos!$I7+Productos!$J7)+(Productos!$G7+Productos!$H7)*(1+Supuestos!$E$12)^L$4)</f>
        <v>3671367.2051467</v>
      </c>
      <c r="M79" s="22" t="n">
        <f aca="false">M9*(M19*(Productos!$F7+Productos!$I7+Productos!$J7)+(Productos!$G7+Productos!$H7)*(1+Supuestos!$E$12)^M$4)</f>
        <v>4263618.35164104</v>
      </c>
      <c r="N79" s="22" t="n">
        <f aca="false">N9*(N19*(Productos!$F7+Productos!$I7+Productos!$J7)+(Productos!$G7+Productos!$H7)*(1+Supuestos!$E$12)^N$4)</f>
        <v>4151962.94399999</v>
      </c>
      <c r="O79" s="13" t="n">
        <f aca="false">SUM(C79:N79)</f>
        <v>39911492.8372531</v>
      </c>
    </row>
    <row r="80" customFormat="false" ht="15" hidden="false" customHeight="false" outlineLevel="0" collapsed="false">
      <c r="A80" s="2" t="s">
        <v>101</v>
      </c>
      <c r="B80" s="6" t="str">
        <f aca="false">IF(Productos!$A8="","",Productos!$A8)</f>
        <v/>
      </c>
      <c r="C80" s="22" t="n">
        <f aca="false">C10*(C20*(Productos!$F8+Productos!$I8+Productos!$J8)+(Productos!$G8+Productos!$H8)*(1+Supuestos!$E$12)^C$4)</f>
        <v>0</v>
      </c>
      <c r="D80" s="22" t="n">
        <f aca="false">D10*(D20*(Productos!$F8+Productos!$I8+Productos!$J8)+(Productos!$G8+Productos!$H8)*(1+Supuestos!$E$12)^D$4)</f>
        <v>0</v>
      </c>
      <c r="E80" s="22" t="n">
        <f aca="false">E10*(E20*(Productos!$F8+Productos!$I8+Productos!$J8)+(Productos!$G8+Productos!$H8)*(1+Supuestos!$E$12)^E$4)</f>
        <v>0</v>
      </c>
      <c r="F80" s="22" t="n">
        <f aca="false">F10*(F20*(Productos!$F8+Productos!$I8+Productos!$J8)+(Productos!$G8+Productos!$H8)*(1+Supuestos!$E$12)^F$4)</f>
        <v>0</v>
      </c>
      <c r="G80" s="22" t="n">
        <f aca="false">G10*(G20*(Productos!$F8+Productos!$I8+Productos!$J8)+(Productos!$G8+Productos!$H8)*(1+Supuestos!$E$12)^G$4)</f>
        <v>0</v>
      </c>
      <c r="H80" s="22" t="n">
        <f aca="false">H10*(H20*(Productos!$F8+Productos!$I8+Productos!$J8)+(Productos!$G8+Productos!$H8)*(1+Supuestos!$E$12)^H$4)</f>
        <v>0</v>
      </c>
      <c r="I80" s="22" t="n">
        <f aca="false">I10*(I20*(Productos!$F8+Productos!$I8+Productos!$J8)+(Productos!$G8+Productos!$H8)*(1+Supuestos!$E$12)^I$4)</f>
        <v>0</v>
      </c>
      <c r="J80" s="22" t="n">
        <f aca="false">J10*(J20*(Productos!$F8+Productos!$I8+Productos!$J8)+(Productos!$G8+Productos!$H8)*(1+Supuestos!$E$12)^J$4)</f>
        <v>0</v>
      </c>
      <c r="K80" s="22" t="n">
        <f aca="false">K10*(K20*(Productos!$F8+Productos!$I8+Productos!$J8)+(Productos!$G8+Productos!$H8)*(1+Supuestos!$E$12)^K$4)</f>
        <v>0</v>
      </c>
      <c r="L80" s="22" t="n">
        <f aca="false">L10*(L20*(Productos!$F8+Productos!$I8+Productos!$J8)+(Productos!$G8+Productos!$H8)*(1+Supuestos!$E$12)^L$4)</f>
        <v>0</v>
      </c>
      <c r="M80" s="22" t="n">
        <f aca="false">M10*(M20*(Productos!$F8+Productos!$I8+Productos!$J8)+(Productos!$G8+Productos!$H8)*(1+Supuestos!$E$12)^M$4)</f>
        <v>0</v>
      </c>
      <c r="N80" s="22" t="n">
        <f aca="false">N10*(N20*(Productos!$F8+Productos!$I8+Productos!$J8)+(Productos!$G8+Productos!$H8)*(1+Supuestos!$E$12)^N$4)</f>
        <v>0</v>
      </c>
      <c r="O80" s="13" t="n">
        <f aca="false">SUM(C80:N80)</f>
        <v>0</v>
      </c>
    </row>
    <row r="81" customFormat="false" ht="15" hidden="false" customHeight="false" outlineLevel="0" collapsed="false">
      <c r="A81" s="2" t="s">
        <v>101</v>
      </c>
      <c r="B81" s="6" t="str">
        <f aca="false">IF(Productos!$A9="","",Productos!$A9)</f>
        <v/>
      </c>
      <c r="C81" s="22" t="n">
        <f aca="false">C11*(C21*(Productos!$F9+Productos!$I9+Productos!$J9)+(Productos!$G9+Productos!$H9)*(1+Supuestos!$E$12)^C$4)</f>
        <v>0</v>
      </c>
      <c r="D81" s="22" t="n">
        <f aca="false">D11*(D21*(Productos!$F9+Productos!$I9+Productos!$J9)+(Productos!$G9+Productos!$H9)*(1+Supuestos!$E$12)^D$4)</f>
        <v>0</v>
      </c>
      <c r="E81" s="22" t="n">
        <f aca="false">E11*(E21*(Productos!$F9+Productos!$I9+Productos!$J9)+(Productos!$G9+Productos!$H9)*(1+Supuestos!$E$12)^E$4)</f>
        <v>0</v>
      </c>
      <c r="F81" s="22" t="n">
        <f aca="false">F11*(F21*(Productos!$F9+Productos!$I9+Productos!$J9)+(Productos!$G9+Productos!$H9)*(1+Supuestos!$E$12)^F$4)</f>
        <v>0</v>
      </c>
      <c r="G81" s="22" t="n">
        <f aca="false">G11*(G21*(Productos!$F9+Productos!$I9+Productos!$J9)+(Productos!$G9+Productos!$H9)*(1+Supuestos!$E$12)^G$4)</f>
        <v>0</v>
      </c>
      <c r="H81" s="22" t="n">
        <f aca="false">H11*(H21*(Productos!$F9+Productos!$I9+Productos!$J9)+(Productos!$G9+Productos!$H9)*(1+Supuestos!$E$12)^H$4)</f>
        <v>0</v>
      </c>
      <c r="I81" s="22" t="n">
        <f aca="false">I11*(I21*(Productos!$F9+Productos!$I9+Productos!$J9)+(Productos!$G9+Productos!$H9)*(1+Supuestos!$E$12)^I$4)</f>
        <v>0</v>
      </c>
      <c r="J81" s="22" t="n">
        <f aca="false">J11*(J21*(Productos!$F9+Productos!$I9+Productos!$J9)+(Productos!$G9+Productos!$H9)*(1+Supuestos!$E$12)^J$4)</f>
        <v>0</v>
      </c>
      <c r="K81" s="22" t="n">
        <f aca="false">K11*(K21*(Productos!$F9+Productos!$I9+Productos!$J9)+(Productos!$G9+Productos!$H9)*(1+Supuestos!$E$12)^K$4)</f>
        <v>0</v>
      </c>
      <c r="L81" s="22" t="n">
        <f aca="false">L11*(L21*(Productos!$F9+Productos!$I9+Productos!$J9)+(Productos!$G9+Productos!$H9)*(1+Supuestos!$E$12)^L$4)</f>
        <v>0</v>
      </c>
      <c r="M81" s="22" t="n">
        <f aca="false">M11*(M21*(Productos!$F9+Productos!$I9+Productos!$J9)+(Productos!$G9+Productos!$H9)*(1+Supuestos!$E$12)^M$4)</f>
        <v>0</v>
      </c>
      <c r="N81" s="22" t="n">
        <f aca="false">N11*(N21*(Productos!$F9+Productos!$I9+Productos!$J9)+(Productos!$G9+Productos!$H9)*(1+Supuestos!$E$12)^N$4)</f>
        <v>0</v>
      </c>
      <c r="O81" s="13" t="n">
        <f aca="false">SUM(C81:N81)</f>
        <v>0</v>
      </c>
    </row>
    <row r="82" customFormat="false" ht="15" hidden="false" customHeight="false" outlineLevel="0" collapsed="false">
      <c r="A82" s="2" t="s">
        <v>101</v>
      </c>
      <c r="B82" s="6" t="str">
        <f aca="false">IF(Productos!$A10="","",Productos!$A10)</f>
        <v/>
      </c>
      <c r="C82" s="22" t="n">
        <f aca="false">C12*(C22*(Productos!$F10+Productos!$I10+Productos!$J10)+(Productos!$G10+Productos!$H10)*(1+Supuestos!$E$12)^C$4)</f>
        <v>0</v>
      </c>
      <c r="D82" s="22" t="n">
        <f aca="false">D12*(D22*(Productos!$F10+Productos!$I10+Productos!$J10)+(Productos!$G10+Productos!$H10)*(1+Supuestos!$E$12)^D$4)</f>
        <v>0</v>
      </c>
      <c r="E82" s="22" t="n">
        <f aca="false">E12*(E22*(Productos!$F10+Productos!$I10+Productos!$J10)+(Productos!$G10+Productos!$H10)*(1+Supuestos!$E$12)^E$4)</f>
        <v>0</v>
      </c>
      <c r="F82" s="22" t="n">
        <f aca="false">F12*(F22*(Productos!$F10+Productos!$I10+Productos!$J10)+(Productos!$G10+Productos!$H10)*(1+Supuestos!$E$12)^F$4)</f>
        <v>0</v>
      </c>
      <c r="G82" s="22" t="n">
        <f aca="false">G12*(G22*(Productos!$F10+Productos!$I10+Productos!$J10)+(Productos!$G10+Productos!$H10)*(1+Supuestos!$E$12)^G$4)</f>
        <v>0</v>
      </c>
      <c r="H82" s="22" t="n">
        <f aca="false">H12*(H22*(Productos!$F10+Productos!$I10+Productos!$J10)+(Productos!$G10+Productos!$H10)*(1+Supuestos!$E$12)^H$4)</f>
        <v>0</v>
      </c>
      <c r="I82" s="22" t="n">
        <f aca="false">I12*(I22*(Productos!$F10+Productos!$I10+Productos!$J10)+(Productos!$G10+Productos!$H10)*(1+Supuestos!$E$12)^I$4)</f>
        <v>0</v>
      </c>
      <c r="J82" s="22" t="n">
        <f aca="false">J12*(J22*(Productos!$F10+Productos!$I10+Productos!$J10)+(Productos!$G10+Productos!$H10)*(1+Supuestos!$E$12)^J$4)</f>
        <v>0</v>
      </c>
      <c r="K82" s="22" t="n">
        <f aca="false">K12*(K22*(Productos!$F10+Productos!$I10+Productos!$J10)+(Productos!$G10+Productos!$H10)*(1+Supuestos!$E$12)^K$4)</f>
        <v>0</v>
      </c>
      <c r="L82" s="22" t="n">
        <f aca="false">L12*(L22*(Productos!$F10+Productos!$I10+Productos!$J10)+(Productos!$G10+Productos!$H10)*(1+Supuestos!$E$12)^L$4)</f>
        <v>0</v>
      </c>
      <c r="M82" s="22" t="n">
        <f aca="false">M12*(M22*(Productos!$F10+Productos!$I10+Productos!$J10)+(Productos!$G10+Productos!$H10)*(1+Supuestos!$E$12)^M$4)</f>
        <v>0</v>
      </c>
      <c r="N82" s="22" t="n">
        <f aca="false">N12*(N22*(Productos!$F10+Productos!$I10+Productos!$J10)+(Productos!$G10+Productos!$H10)*(1+Supuestos!$E$12)^N$4)</f>
        <v>0</v>
      </c>
      <c r="O82" s="13" t="n">
        <f aca="false">SUM(C82:N82)</f>
        <v>0</v>
      </c>
    </row>
    <row r="83" customFormat="false" ht="15" hidden="false" customHeight="false" outlineLevel="0" collapsed="false">
      <c r="A83" s="2" t="s">
        <v>101</v>
      </c>
      <c r="B83" s="6" t="str">
        <f aca="false">IF(Productos!$A11="","",Productos!$A11)</f>
        <v/>
      </c>
      <c r="C83" s="22" t="n">
        <f aca="false">C13*(C23*(Productos!$F11+Productos!$I11+Productos!$J11)+(Productos!$G11+Productos!$H11)*(1+Supuestos!$E$12)^C$4)</f>
        <v>0</v>
      </c>
      <c r="D83" s="22" t="n">
        <f aca="false">D13*(D23*(Productos!$F11+Productos!$I11+Productos!$J11)+(Productos!$G11+Productos!$H11)*(1+Supuestos!$E$12)^D$4)</f>
        <v>0</v>
      </c>
      <c r="E83" s="22" t="n">
        <f aca="false">E13*(E23*(Productos!$F11+Productos!$I11+Productos!$J11)+(Productos!$G11+Productos!$H11)*(1+Supuestos!$E$12)^E$4)</f>
        <v>0</v>
      </c>
      <c r="F83" s="22" t="n">
        <f aca="false">F13*(F23*(Productos!$F11+Productos!$I11+Productos!$J11)+(Productos!$G11+Productos!$H11)*(1+Supuestos!$E$12)^F$4)</f>
        <v>0</v>
      </c>
      <c r="G83" s="22" t="n">
        <f aca="false">G13*(G23*(Productos!$F11+Productos!$I11+Productos!$J11)+(Productos!$G11+Productos!$H11)*(1+Supuestos!$E$12)^G$4)</f>
        <v>0</v>
      </c>
      <c r="H83" s="22" t="n">
        <f aca="false">H13*(H23*(Productos!$F11+Productos!$I11+Productos!$J11)+(Productos!$G11+Productos!$H11)*(1+Supuestos!$E$12)^H$4)</f>
        <v>0</v>
      </c>
      <c r="I83" s="22" t="n">
        <f aca="false">I13*(I23*(Productos!$F11+Productos!$I11+Productos!$J11)+(Productos!$G11+Productos!$H11)*(1+Supuestos!$E$12)^I$4)</f>
        <v>0</v>
      </c>
      <c r="J83" s="22" t="n">
        <f aca="false">J13*(J23*(Productos!$F11+Productos!$I11+Productos!$J11)+(Productos!$G11+Productos!$H11)*(1+Supuestos!$E$12)^J$4)</f>
        <v>0</v>
      </c>
      <c r="K83" s="22" t="n">
        <f aca="false">K13*(K23*(Productos!$F11+Productos!$I11+Productos!$J11)+(Productos!$G11+Productos!$H11)*(1+Supuestos!$E$12)^K$4)</f>
        <v>0</v>
      </c>
      <c r="L83" s="22" t="n">
        <f aca="false">L13*(L23*(Productos!$F11+Productos!$I11+Productos!$J11)+(Productos!$G11+Productos!$H11)*(1+Supuestos!$E$12)^L$4)</f>
        <v>0</v>
      </c>
      <c r="M83" s="22" t="n">
        <f aca="false">M13*(M23*(Productos!$F11+Productos!$I11+Productos!$J11)+(Productos!$G11+Productos!$H11)*(1+Supuestos!$E$12)^M$4)</f>
        <v>0</v>
      </c>
      <c r="N83" s="22" t="n">
        <f aca="false">N13*(N23*(Productos!$F11+Productos!$I11+Productos!$J11)+(Productos!$G11+Productos!$H11)*(1+Supuestos!$E$12)^N$4)</f>
        <v>0</v>
      </c>
      <c r="O83" s="13" t="n">
        <f aca="false">SUM(C83:N83)</f>
        <v>0</v>
      </c>
    </row>
    <row r="84" customFormat="false" ht="15" hidden="false" customHeight="false" outlineLevel="0" collapsed="false">
      <c r="A84" s="2" t="s">
        <v>101</v>
      </c>
      <c r="B84" s="6" t="str">
        <f aca="false">IF(Productos!$A12="","",Productos!$A12)</f>
        <v/>
      </c>
      <c r="C84" s="22" t="n">
        <f aca="false">C14*(C24*(Productos!$F12+Productos!$I12+Productos!$J12)+(Productos!$G12+Productos!$H12)*(1+Supuestos!$E$12)^C$4)</f>
        <v>0</v>
      </c>
      <c r="D84" s="22" t="n">
        <f aca="false">D14*(D24*(Productos!$F12+Productos!$I12+Productos!$J12)+(Productos!$G12+Productos!$H12)*(1+Supuestos!$E$12)^D$4)</f>
        <v>0</v>
      </c>
      <c r="E84" s="22" t="n">
        <f aca="false">E14*(E24*(Productos!$F12+Productos!$I12+Productos!$J12)+(Productos!$G12+Productos!$H12)*(1+Supuestos!$E$12)^E$4)</f>
        <v>0</v>
      </c>
      <c r="F84" s="22" t="n">
        <f aca="false">F14*(F24*(Productos!$F12+Productos!$I12+Productos!$J12)+(Productos!$G12+Productos!$H12)*(1+Supuestos!$E$12)^F$4)</f>
        <v>0</v>
      </c>
      <c r="G84" s="22" t="n">
        <f aca="false">G14*(G24*(Productos!$F12+Productos!$I12+Productos!$J12)+(Productos!$G12+Productos!$H12)*(1+Supuestos!$E$12)^G$4)</f>
        <v>0</v>
      </c>
      <c r="H84" s="22" t="n">
        <f aca="false">H14*(H24*(Productos!$F12+Productos!$I12+Productos!$J12)+(Productos!$G12+Productos!$H12)*(1+Supuestos!$E$12)^H$4)</f>
        <v>0</v>
      </c>
      <c r="I84" s="22" t="n">
        <f aca="false">I14*(I24*(Productos!$F12+Productos!$I12+Productos!$J12)+(Productos!$G12+Productos!$H12)*(1+Supuestos!$E$12)^I$4)</f>
        <v>0</v>
      </c>
      <c r="J84" s="22" t="n">
        <f aca="false">J14*(J24*(Productos!$F12+Productos!$I12+Productos!$J12)+(Productos!$G12+Productos!$H12)*(1+Supuestos!$E$12)^J$4)</f>
        <v>0</v>
      </c>
      <c r="K84" s="22" t="n">
        <f aca="false">K14*(K24*(Productos!$F12+Productos!$I12+Productos!$J12)+(Productos!$G12+Productos!$H12)*(1+Supuestos!$E$12)^K$4)</f>
        <v>0</v>
      </c>
      <c r="L84" s="22" t="n">
        <f aca="false">L14*(L24*(Productos!$F12+Productos!$I12+Productos!$J12)+(Productos!$G12+Productos!$H12)*(1+Supuestos!$E$12)^L$4)</f>
        <v>0</v>
      </c>
      <c r="M84" s="22" t="n">
        <f aca="false">M14*(M24*(Productos!$F12+Productos!$I12+Productos!$J12)+(Productos!$G12+Productos!$H12)*(1+Supuestos!$E$12)^M$4)</f>
        <v>0</v>
      </c>
      <c r="N84" s="22" t="n">
        <f aca="false">N14*(N24*(Productos!$F12+Productos!$I12+Productos!$J12)+(Productos!$G12+Productos!$H12)*(1+Supuestos!$E$12)^N$4)</f>
        <v>0</v>
      </c>
      <c r="O84" s="13" t="n">
        <f aca="false">SUM(C84:N84)</f>
        <v>0</v>
      </c>
    </row>
    <row r="85" customFormat="false" ht="15" hidden="false" customHeight="fals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customFormat="false" ht="15" hidden="false" customHeight="false" outlineLevel="0" collapsed="false">
      <c r="A86" s="18" t="s">
        <v>102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customFormat="false" ht="15" hidden="false" customHeight="false" outlineLevel="0" collapsed="false">
      <c r="A87" s="2" t="s">
        <v>102</v>
      </c>
      <c r="B87" s="6" t="str">
        <f aca="false">IF(Productos!$A5="","",Productos!$A5)</f>
        <v>Ejemplo: producto importado</v>
      </c>
      <c r="C87" s="22" t="n">
        <f aca="false">C7*C37</f>
        <v>4765333.10503594</v>
      </c>
      <c r="D87" s="22" t="n">
        <f aca="false">D7*D37</f>
        <v>4850358.10181126</v>
      </c>
      <c r="E87" s="22" t="n">
        <f aca="false">E7*E37</f>
        <v>5517713.61955668</v>
      </c>
      <c r="F87" s="22" t="n">
        <f aca="false">F7*F37</f>
        <v>5616166.32775022</v>
      </c>
      <c r="G87" s="22" t="n">
        <f aca="false">G7*G37</f>
        <v>6618963.39123164</v>
      </c>
      <c r="H87" s="22" t="n">
        <f aca="false">H7*H37</f>
        <v>6124608.94159769</v>
      </c>
      <c r="I87" s="22" t="n">
        <f aca="false">I7*I37</f>
        <v>5922201.38647625</v>
      </c>
      <c r="J87" s="22" t="n">
        <f aca="false">J7*J37</f>
        <v>6345135.49529922</v>
      </c>
      <c r="K87" s="22" t="n">
        <f aca="false">K7*K37</f>
        <v>6135443.64986044</v>
      </c>
      <c r="L87" s="22" t="n">
        <f aca="false">L7*L37</f>
        <v>6902290.96510925</v>
      </c>
      <c r="M87" s="22" t="n">
        <f aca="false">M7*M37</f>
        <v>8029101.32660457</v>
      </c>
      <c r="N87" s="22" t="n">
        <f aca="false">N7*N37</f>
        <v>7831868.60877323</v>
      </c>
      <c r="O87" s="13" t="n">
        <f aca="false">SUM(C87:N87)</f>
        <v>74659184.9191064</v>
      </c>
    </row>
    <row r="88" customFormat="false" ht="15" hidden="false" customHeight="false" outlineLevel="0" collapsed="false">
      <c r="A88" s="2" t="s">
        <v>102</v>
      </c>
      <c r="B88" s="6" t="str">
        <f aca="false">IF(Productos!$A6="","",Productos!$A6)</f>
        <v>Ejemplo: producto nacional</v>
      </c>
      <c r="C88" s="22" t="n">
        <f aca="false">C8*C38</f>
        <v>3771570.5971519</v>
      </c>
      <c r="D88" s="22" t="n">
        <f aca="false">D8*D38</f>
        <v>3833906.7553761</v>
      </c>
      <c r="E88" s="22" t="n">
        <f aca="false">E8*E38</f>
        <v>4355778.31087912</v>
      </c>
      <c r="F88" s="22" t="n">
        <f aca="false">F8*F38</f>
        <v>4427775.04344127</v>
      </c>
      <c r="G88" s="22" t="n">
        <f aca="false">G8*G38</f>
        <v>5211642.84807031</v>
      </c>
      <c r="H88" s="22" t="n">
        <f aca="false">H8*H38</f>
        <v>4816174.53620056</v>
      </c>
      <c r="I88" s="22" t="n">
        <f aca="false">I8*I38</f>
        <v>4650999.76253355</v>
      </c>
      <c r="J88" s="22" t="n">
        <f aca="false">J8*J38</f>
        <v>4976722.73338693</v>
      </c>
      <c r="K88" s="22" t="n">
        <f aca="false">K8*K38</f>
        <v>4806047.11178974</v>
      </c>
      <c r="L88" s="22" t="n">
        <f aca="false">L8*L38</f>
        <v>5399765.86989361</v>
      </c>
      <c r="M88" s="22" t="n">
        <f aca="false">M8*M38</f>
        <v>6273188.36253618</v>
      </c>
      <c r="N88" s="22" t="n">
        <f aca="false">N8*N38</f>
        <v>6111201.64460966</v>
      </c>
      <c r="O88" s="13" t="n">
        <f aca="false">SUM(C88:N88)</f>
        <v>58634773.5758689</v>
      </c>
    </row>
    <row r="89" customFormat="false" ht="15" hidden="false" customHeight="false" outlineLevel="0" collapsed="false">
      <c r="A89" s="2" t="s">
        <v>102</v>
      </c>
      <c r="B89" s="6" t="str">
        <f aca="false">IF(Productos!$A7="","",Productos!$A7)</f>
        <v>Ejemplo: accesorio</v>
      </c>
      <c r="C89" s="22" t="n">
        <f aca="false">C9*C39</f>
        <v>2220515.79491184</v>
      </c>
      <c r="D89" s="22" t="n">
        <f aca="false">D9*D39</f>
        <v>2258885.11514899</v>
      </c>
      <c r="E89" s="22" t="n">
        <f aca="false">E9*E39</f>
        <v>2568262.76483282</v>
      </c>
      <c r="F89" s="22" t="n">
        <f aca="false">F9*F39</f>
        <v>2612645.23844628</v>
      </c>
      <c r="G89" s="22" t="n">
        <f aca="false">G9*G39</f>
        <v>3077448.99944616</v>
      </c>
      <c r="H89" s="22" t="n">
        <f aca="false">H9*H39</f>
        <v>2846032.63684904</v>
      </c>
      <c r="I89" s="22" t="n">
        <f aca="false">I9*I39</f>
        <v>2750461.26291577</v>
      </c>
      <c r="J89" s="22" t="n">
        <f aca="false">J9*J39</f>
        <v>2945264.70817143</v>
      </c>
      <c r="K89" s="22" t="n">
        <f aca="false">K9*K39</f>
        <v>2846365.71151777</v>
      </c>
      <c r="L89" s="22" t="n">
        <f aca="false">L9*L39</f>
        <v>3200364.96476584</v>
      </c>
      <c r="M89" s="22" t="n">
        <f aca="false">M9*M39</f>
        <v>3720787.97613244</v>
      </c>
      <c r="N89" s="22" t="n">
        <f aca="false">N9*N39</f>
        <v>3627399.092342</v>
      </c>
      <c r="O89" s="13" t="n">
        <f aca="false">SUM(C89:N89)</f>
        <v>34674434.2654804</v>
      </c>
    </row>
    <row r="90" customFormat="false" ht="15" hidden="false" customHeight="false" outlineLevel="0" collapsed="false">
      <c r="A90" s="2" t="s">
        <v>102</v>
      </c>
      <c r="B90" s="6" t="str">
        <f aca="false">IF(Productos!$A8="","",Productos!$A8)</f>
        <v/>
      </c>
      <c r="C90" s="22" t="n">
        <f aca="false">C10*C40</f>
        <v>0</v>
      </c>
      <c r="D90" s="22" t="n">
        <f aca="false">D10*D40</f>
        <v>0</v>
      </c>
      <c r="E90" s="22" t="n">
        <f aca="false">E10*E40</f>
        <v>0</v>
      </c>
      <c r="F90" s="22" t="n">
        <f aca="false">F10*F40</f>
        <v>0</v>
      </c>
      <c r="G90" s="22" t="n">
        <f aca="false">G10*G40</f>
        <v>0</v>
      </c>
      <c r="H90" s="22" t="n">
        <f aca="false">H10*H40</f>
        <v>0</v>
      </c>
      <c r="I90" s="22" t="n">
        <f aca="false">I10*I40</f>
        <v>0</v>
      </c>
      <c r="J90" s="22" t="n">
        <f aca="false">J10*J40</f>
        <v>0</v>
      </c>
      <c r="K90" s="22" t="n">
        <f aca="false">K10*K40</f>
        <v>0</v>
      </c>
      <c r="L90" s="22" t="n">
        <f aca="false">L10*L40</f>
        <v>0</v>
      </c>
      <c r="M90" s="22" t="n">
        <f aca="false">M10*M40</f>
        <v>0</v>
      </c>
      <c r="N90" s="22" t="n">
        <f aca="false">N10*N40</f>
        <v>0</v>
      </c>
      <c r="O90" s="13" t="n">
        <f aca="false">SUM(C90:N90)</f>
        <v>0</v>
      </c>
    </row>
    <row r="91" customFormat="false" ht="15" hidden="false" customHeight="false" outlineLevel="0" collapsed="false">
      <c r="A91" s="2" t="s">
        <v>102</v>
      </c>
      <c r="B91" s="6" t="str">
        <f aca="false">IF(Productos!$A9="","",Productos!$A9)</f>
        <v/>
      </c>
      <c r="C91" s="22" t="n">
        <f aca="false">C11*C41</f>
        <v>0</v>
      </c>
      <c r="D91" s="22" t="n">
        <f aca="false">D11*D41</f>
        <v>0</v>
      </c>
      <c r="E91" s="22" t="n">
        <f aca="false">E11*E41</f>
        <v>0</v>
      </c>
      <c r="F91" s="22" t="n">
        <f aca="false">F11*F41</f>
        <v>0</v>
      </c>
      <c r="G91" s="22" t="n">
        <f aca="false">G11*G41</f>
        <v>0</v>
      </c>
      <c r="H91" s="22" t="n">
        <f aca="false">H11*H41</f>
        <v>0</v>
      </c>
      <c r="I91" s="22" t="n">
        <f aca="false">I11*I41</f>
        <v>0</v>
      </c>
      <c r="J91" s="22" t="n">
        <f aca="false">J11*J41</f>
        <v>0</v>
      </c>
      <c r="K91" s="22" t="n">
        <f aca="false">K11*K41</f>
        <v>0</v>
      </c>
      <c r="L91" s="22" t="n">
        <f aca="false">L11*L41</f>
        <v>0</v>
      </c>
      <c r="M91" s="22" t="n">
        <f aca="false">M11*M41</f>
        <v>0</v>
      </c>
      <c r="N91" s="22" t="n">
        <f aca="false">N11*N41</f>
        <v>0</v>
      </c>
      <c r="O91" s="13" t="n">
        <f aca="false">SUM(C91:N91)</f>
        <v>0</v>
      </c>
    </row>
    <row r="92" customFormat="false" ht="15" hidden="false" customHeight="false" outlineLevel="0" collapsed="false">
      <c r="A92" s="2" t="s">
        <v>102</v>
      </c>
      <c r="B92" s="6" t="str">
        <f aca="false">IF(Productos!$A10="","",Productos!$A10)</f>
        <v/>
      </c>
      <c r="C92" s="22" t="n">
        <f aca="false">C12*C42</f>
        <v>0</v>
      </c>
      <c r="D92" s="22" t="n">
        <f aca="false">D12*D42</f>
        <v>0</v>
      </c>
      <c r="E92" s="22" t="n">
        <f aca="false">E12*E42</f>
        <v>0</v>
      </c>
      <c r="F92" s="22" t="n">
        <f aca="false">F12*F42</f>
        <v>0</v>
      </c>
      <c r="G92" s="22" t="n">
        <f aca="false">G12*G42</f>
        <v>0</v>
      </c>
      <c r="H92" s="22" t="n">
        <f aca="false">H12*H42</f>
        <v>0</v>
      </c>
      <c r="I92" s="22" t="n">
        <f aca="false">I12*I42</f>
        <v>0</v>
      </c>
      <c r="J92" s="22" t="n">
        <f aca="false">J12*J42</f>
        <v>0</v>
      </c>
      <c r="K92" s="22" t="n">
        <f aca="false">K12*K42</f>
        <v>0</v>
      </c>
      <c r="L92" s="22" t="n">
        <f aca="false">L12*L42</f>
        <v>0</v>
      </c>
      <c r="M92" s="22" t="n">
        <f aca="false">M12*M42</f>
        <v>0</v>
      </c>
      <c r="N92" s="22" t="n">
        <f aca="false">N12*N42</f>
        <v>0</v>
      </c>
      <c r="O92" s="13" t="n">
        <f aca="false">SUM(C92:N92)</f>
        <v>0</v>
      </c>
    </row>
    <row r="93" customFormat="false" ht="15" hidden="false" customHeight="false" outlineLevel="0" collapsed="false">
      <c r="A93" s="2" t="s">
        <v>102</v>
      </c>
      <c r="B93" s="6" t="str">
        <f aca="false">IF(Productos!$A11="","",Productos!$A11)</f>
        <v/>
      </c>
      <c r="C93" s="22" t="n">
        <f aca="false">C13*C43</f>
        <v>0</v>
      </c>
      <c r="D93" s="22" t="n">
        <f aca="false">D13*D43</f>
        <v>0</v>
      </c>
      <c r="E93" s="22" t="n">
        <f aca="false">E13*E43</f>
        <v>0</v>
      </c>
      <c r="F93" s="22" t="n">
        <f aca="false">F13*F43</f>
        <v>0</v>
      </c>
      <c r="G93" s="22" t="n">
        <f aca="false">G13*G43</f>
        <v>0</v>
      </c>
      <c r="H93" s="22" t="n">
        <f aca="false">H13*H43</f>
        <v>0</v>
      </c>
      <c r="I93" s="22" t="n">
        <f aca="false">I13*I43</f>
        <v>0</v>
      </c>
      <c r="J93" s="22" t="n">
        <f aca="false">J13*J43</f>
        <v>0</v>
      </c>
      <c r="K93" s="22" t="n">
        <f aca="false">K13*K43</f>
        <v>0</v>
      </c>
      <c r="L93" s="22" t="n">
        <f aca="false">L13*L43</f>
        <v>0</v>
      </c>
      <c r="M93" s="22" t="n">
        <f aca="false">M13*M43</f>
        <v>0</v>
      </c>
      <c r="N93" s="22" t="n">
        <f aca="false">N13*N43</f>
        <v>0</v>
      </c>
      <c r="O93" s="13" t="n">
        <f aca="false">SUM(C93:N93)</f>
        <v>0</v>
      </c>
    </row>
    <row r="94" customFormat="false" ht="15" hidden="false" customHeight="false" outlineLevel="0" collapsed="false">
      <c r="A94" s="2" t="s">
        <v>102</v>
      </c>
      <c r="B94" s="6" t="str">
        <f aca="false">IF(Productos!$A12="","",Productos!$A12)</f>
        <v/>
      </c>
      <c r="C94" s="22" t="n">
        <f aca="false">C14*C44</f>
        <v>0</v>
      </c>
      <c r="D94" s="22" t="n">
        <f aca="false">D14*D44</f>
        <v>0</v>
      </c>
      <c r="E94" s="22" t="n">
        <f aca="false">E14*E44</f>
        <v>0</v>
      </c>
      <c r="F94" s="22" t="n">
        <f aca="false">F14*F44</f>
        <v>0</v>
      </c>
      <c r="G94" s="22" t="n">
        <f aca="false">G14*G44</f>
        <v>0</v>
      </c>
      <c r="H94" s="22" t="n">
        <f aca="false">H14*H44</f>
        <v>0</v>
      </c>
      <c r="I94" s="22" t="n">
        <f aca="false">I14*I44</f>
        <v>0</v>
      </c>
      <c r="J94" s="22" t="n">
        <f aca="false">J14*J44</f>
        <v>0</v>
      </c>
      <c r="K94" s="22" t="n">
        <f aca="false">K14*K44</f>
        <v>0</v>
      </c>
      <c r="L94" s="22" t="n">
        <f aca="false">L14*L44</f>
        <v>0</v>
      </c>
      <c r="M94" s="22" t="n">
        <f aca="false">M14*M44</f>
        <v>0</v>
      </c>
      <c r="N94" s="22" t="n">
        <f aca="false">N14*N44</f>
        <v>0</v>
      </c>
      <c r="O94" s="13" t="n">
        <f aca="false">SUM(C94:N94)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4" min="2" style="0" width="14"/>
  </cols>
  <sheetData>
    <row r="1" customFormat="false" ht="17.35" hidden="false" customHeight="false" outlineLevel="0" collapsed="false">
      <c r="A1" s="1" t="s">
        <v>103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2" t="str">
        <f aca="false">"Escenario en uso: "&amp;INDEX({"1. Oficial","2. Mercado","3. Estrés"},Supuestos!B3)</f>
        <v>Escenario en uso: 2. Mercado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8" t="s">
        <v>90</v>
      </c>
      <c r="B4" s="8" t="s">
        <v>67</v>
      </c>
      <c r="C4" s="8" t="s">
        <v>69</v>
      </c>
      <c r="D4" s="8" t="s">
        <v>71</v>
      </c>
      <c r="E4" s="8" t="s">
        <v>72</v>
      </c>
      <c r="F4" s="8" t="s">
        <v>73</v>
      </c>
      <c r="G4" s="8" t="s">
        <v>75</v>
      </c>
      <c r="H4" s="8" t="s">
        <v>77</v>
      </c>
      <c r="I4" s="8" t="s">
        <v>79</v>
      </c>
      <c r="J4" s="8" t="s">
        <v>81</v>
      </c>
      <c r="K4" s="8" t="s">
        <v>82</v>
      </c>
      <c r="L4" s="8" t="s">
        <v>84</v>
      </c>
      <c r="M4" s="8" t="s">
        <v>86</v>
      </c>
      <c r="N4" s="8" t="s">
        <v>92</v>
      </c>
    </row>
    <row r="5" customFormat="false" ht="15" hidden="false" customHeight="false" outlineLevel="0" collapsed="false">
      <c r="A5" s="3" t="s">
        <v>104</v>
      </c>
      <c r="B5" s="24" t="n">
        <f aca="false">SUM('Ventas y margen'!C27:C34)</f>
        <v>36459726.5278545</v>
      </c>
      <c r="C5" s="24" t="n">
        <f aca="false">SUM('Ventas y margen'!D27:D34)</f>
        <v>37048613.3991989</v>
      </c>
      <c r="D5" s="24" t="n">
        <f aca="false">SUM('Ventas y margen'!E27:E34)</f>
        <v>42076072.0112862</v>
      </c>
      <c r="E5" s="24" t="n">
        <f aca="false">SUM('Ventas y margen'!F27:F34)</f>
        <v>42755672.4571716</v>
      </c>
      <c r="F5" s="24" t="n">
        <f aca="false">SUM('Ventas y margen'!G27:G34)</f>
        <v>50306183.7604407</v>
      </c>
      <c r="G5" s="24" t="n">
        <f aca="false">SUM('Ventas y margen'!H27:H34)</f>
        <v>46471558.701296</v>
      </c>
      <c r="H5" s="24" t="n">
        <f aca="false">SUM('Ventas y margen'!I27:I34)</f>
        <v>44861046.0781648</v>
      </c>
      <c r="I5" s="24" t="n">
        <f aca="false">SUM('Ventas y margen'!J27:J34)</f>
        <v>47984872.2243046</v>
      </c>
      <c r="J5" s="24" t="n">
        <f aca="false">SUM('Ventas y margen'!K27:K34)</f>
        <v>46321914.3938322</v>
      </c>
      <c r="K5" s="24" t="n">
        <f aca="false">SUM('Ventas y margen'!L27:L34)</f>
        <v>52024839.0212605</v>
      </c>
      <c r="L5" s="24" t="n">
        <f aca="false">SUM('Ventas y margen'!M27:M34)</f>
        <v>60417290.3438446</v>
      </c>
      <c r="M5" s="24" t="n">
        <f aca="false">SUM('Ventas y margen'!N27:N34)</f>
        <v>58835085.5999999</v>
      </c>
      <c r="N5" s="13" t="n">
        <f aca="false">SUM(B5:M5)</f>
        <v>565562874.518655</v>
      </c>
    </row>
    <row r="6" customFormat="false" ht="15" hidden="false" customHeight="false" outlineLevel="0" collapsed="false">
      <c r="A6" s="3" t="s">
        <v>105</v>
      </c>
      <c r="B6" s="22" t="n">
        <f aca="false">B5-B5/(1+Supuestos!$E$16*Supuestos!$E$17)</f>
        <v>6327721.13293343</v>
      </c>
      <c r="C6" s="22" t="n">
        <f aca="false">C5-C5/(1+Supuestos!$E$16*Supuestos!$E$17)</f>
        <v>6429924.63953039</v>
      </c>
      <c r="D6" s="22" t="n">
        <f aca="false">D5-D5/(1+Supuestos!$E$16*Supuestos!$E$17)</f>
        <v>7302458.77881827</v>
      </c>
      <c r="E6" s="22" t="n">
        <f aca="false">E5-E5/(1+Supuestos!$E$16*Supuestos!$E$17)</f>
        <v>7420405.96364135</v>
      </c>
      <c r="F6" s="22" t="n">
        <f aca="false">F5-F5/(1+Supuestos!$E$16*Supuestos!$E$17)</f>
        <v>8730825.28073765</v>
      </c>
      <c r="G6" s="22" t="n">
        <f aca="false">G5-G5/(1+Supuestos!$E$16*Supuestos!$E$17)</f>
        <v>8065311.84072079</v>
      </c>
      <c r="H6" s="22" t="n">
        <f aca="false">H5-H5/(1+Supuestos!$E$16*Supuestos!$E$17)</f>
        <v>7785801.38546662</v>
      </c>
      <c r="I6" s="22" t="n">
        <f aca="false">I5-I5/(1+Supuestos!$E$16*Supuestos!$E$17)</f>
        <v>8327953.03066443</v>
      </c>
      <c r="J6" s="22" t="n">
        <f aca="false">J5-J5/(1+Supuestos!$E$16*Supuestos!$E$17)</f>
        <v>8039340.51463203</v>
      </c>
      <c r="K6" s="22" t="n">
        <f aca="false">K5-K5/(1+Supuestos!$E$16*Supuestos!$E$17)</f>
        <v>9029104.29294603</v>
      </c>
      <c r="L6" s="22" t="n">
        <f aca="false">L5-L5/(1+Supuestos!$E$16*Supuestos!$E$17)</f>
        <v>10485645.4315763</v>
      </c>
      <c r="M6" s="22" t="n">
        <f aca="false">M5-M5/(1+Supuestos!$E$16*Supuestos!$E$17)</f>
        <v>10211047.9140496</v>
      </c>
      <c r="N6" s="13" t="n">
        <f aca="false">SUM(B6:M6)</f>
        <v>98155540.2057169</v>
      </c>
    </row>
    <row r="7" customFormat="false" ht="15" hidden="false" customHeight="false" outlineLevel="0" collapsed="false">
      <c r="A7" s="3" t="s">
        <v>106</v>
      </c>
      <c r="B7" s="22" t="n">
        <f aca="false">B5-B6</f>
        <v>30132005.3949211</v>
      </c>
      <c r="C7" s="22" t="n">
        <f aca="false">C5-C6</f>
        <v>30618688.7596685</v>
      </c>
      <c r="D7" s="22" t="n">
        <f aca="false">D5-D6</f>
        <v>34773613.2324679</v>
      </c>
      <c r="E7" s="22" t="n">
        <f aca="false">E5-E6</f>
        <v>35335266.4935302</v>
      </c>
      <c r="F7" s="22" t="n">
        <f aca="false">F5-F6</f>
        <v>41575358.4797031</v>
      </c>
      <c r="G7" s="22" t="n">
        <f aca="false">G5-G6</f>
        <v>38406246.8605752</v>
      </c>
      <c r="H7" s="22" t="n">
        <f aca="false">H5-H6</f>
        <v>37075244.6926982</v>
      </c>
      <c r="I7" s="22" t="n">
        <f aca="false">I5-I6</f>
        <v>39656919.1936402</v>
      </c>
      <c r="J7" s="22" t="n">
        <f aca="false">J5-J6</f>
        <v>38282573.8792001</v>
      </c>
      <c r="K7" s="22" t="n">
        <f aca="false">K5-K6</f>
        <v>42995734.7283144</v>
      </c>
      <c r="L7" s="22" t="n">
        <f aca="false">L5-L6</f>
        <v>49931644.9122682</v>
      </c>
      <c r="M7" s="22" t="n">
        <f aca="false">M5-M6</f>
        <v>48624037.6859504</v>
      </c>
      <c r="N7" s="13" t="n">
        <f aca="false">SUM(B7:M7)</f>
        <v>467407334.312938</v>
      </c>
    </row>
    <row r="8" customFormat="false" ht="15" hidden="false" customHeight="false" outlineLevel="0" collapsed="false">
      <c r="A8" s="3" t="s">
        <v>107</v>
      </c>
      <c r="B8" s="24" t="n">
        <f aca="false">SUM('Ventas y margen'!C87:C94)</f>
        <v>10757419.4970997</v>
      </c>
      <c r="C8" s="24" t="n">
        <f aca="false">SUM('Ventas y margen'!D87:D94)</f>
        <v>10943149.9723364</v>
      </c>
      <c r="D8" s="24" t="n">
        <f aca="false">SUM('Ventas y margen'!E87:E94)</f>
        <v>12441754.6952686</v>
      </c>
      <c r="E8" s="24" t="n">
        <f aca="false">SUM('Ventas y margen'!F87:F94)</f>
        <v>12656586.6096378</v>
      </c>
      <c r="F8" s="24" t="n">
        <f aca="false">SUM('Ventas y margen'!G87:G94)</f>
        <v>14908055.2387481</v>
      </c>
      <c r="G8" s="24" t="n">
        <f aca="false">SUM('Ventas y margen'!H87:H94)</f>
        <v>13786816.1146473</v>
      </c>
      <c r="H8" s="24" t="n">
        <f aca="false">SUM('Ventas y margen'!I87:I94)</f>
        <v>13323662.4119256</v>
      </c>
      <c r="I8" s="24" t="n">
        <f aca="false">SUM('Ventas y margen'!J87:J94)</f>
        <v>14267122.9368576</v>
      </c>
      <c r="J8" s="24" t="n">
        <f aca="false">SUM('Ventas y margen'!K87:K94)</f>
        <v>13787856.4731679</v>
      </c>
      <c r="K8" s="24" t="n">
        <f aca="false">SUM('Ventas y margen'!L87:L94)</f>
        <v>15502421.7997687</v>
      </c>
      <c r="L8" s="24" t="n">
        <f aca="false">SUM('Ventas y margen'!M87:M94)</f>
        <v>18023077.6652732</v>
      </c>
      <c r="M8" s="24" t="n">
        <f aca="false">SUM('Ventas y margen'!N87:N94)</f>
        <v>17570469.3457249</v>
      </c>
      <c r="N8" s="13" t="n">
        <f aca="false">SUM(B8:M8)</f>
        <v>167968392.760456</v>
      </c>
    </row>
    <row r="9" customFormat="false" ht="15" hidden="false" customHeight="false" outlineLevel="0" collapsed="false">
      <c r="A9" s="3" t="s">
        <v>108</v>
      </c>
      <c r="B9" s="24" t="n">
        <f aca="false">SUM('Ventas y margen'!C77:C84)</f>
        <v>12662335.5367305</v>
      </c>
      <c r="C9" s="24" t="n">
        <f aca="false">SUM('Ventas y margen'!D77:D84)</f>
        <v>12866853.8880254</v>
      </c>
      <c r="D9" s="24" t="n">
        <f aca="false">SUM('Ventas y margen'!E77:E84)</f>
        <v>14612872.6848104</v>
      </c>
      <c r="E9" s="24" t="n">
        <f aca="false">SUM('Ventas y margen'!F77:F84)</f>
        <v>14848895.543351</v>
      </c>
      <c r="F9" s="24" t="n">
        <f aca="false">SUM('Ventas y margen'!G77:G84)</f>
        <v>17471161.7175865</v>
      </c>
      <c r="G9" s="24" t="n">
        <f aca="false">SUM('Ventas y margen'!H77:H84)</f>
        <v>16139409.8428337</v>
      </c>
      <c r="H9" s="24" t="n">
        <f aca="false">SUM('Ventas y margen'!I77:I84)</f>
        <v>15580084.4401967</v>
      </c>
      <c r="I9" s="24" t="n">
        <f aca="false">SUM('Ventas y margen'!J77:J84)</f>
        <v>16664978.337868</v>
      </c>
      <c r="J9" s="24" t="n">
        <f aca="false">SUM('Ventas y margen'!K77:K84)</f>
        <v>16087438.8981032</v>
      </c>
      <c r="K9" s="24" t="n">
        <f aca="false">SUM('Ventas y margen'!L77:L84)</f>
        <v>18068044.6801573</v>
      </c>
      <c r="L9" s="24" t="n">
        <f aca="false">SUM('Ventas y margen'!M77:M84)</f>
        <v>20982713.6791431</v>
      </c>
      <c r="M9" s="24" t="n">
        <f aca="false">SUM('Ventas y margen'!N77:N84)</f>
        <v>20433219.504</v>
      </c>
      <c r="N9" s="13" t="n">
        <f aca="false">SUM(B9:M9)</f>
        <v>196418008.752806</v>
      </c>
    </row>
    <row r="10" customFormat="false" ht="15" hidden="false" customHeight="false" outlineLevel="0" collapsed="false">
      <c r="A10" s="3" t="s">
        <v>109</v>
      </c>
      <c r="B10" s="25" t="n">
        <f aca="false">B5-B6-B8-B9-SUM('Ventas y margen'!C57:C64)</f>
        <v>1054620.18882223</v>
      </c>
      <c r="C10" s="25" t="n">
        <f aca="false">C5-C6-C8-C9-SUM('Ventas y margen'!D57:D64)</f>
        <v>1071654.10658839</v>
      </c>
      <c r="D10" s="25" t="n">
        <f aca="false">D5-D6-D8-D9-SUM('Ventas y margen'!E57:E64)</f>
        <v>1217076.46313638</v>
      </c>
      <c r="E10" s="25" t="n">
        <f aca="false">E5-E6-E8-E9-SUM('Ventas y margen'!F57:F64)</f>
        <v>1236734.32727356</v>
      </c>
      <c r="F10" s="25" t="n">
        <f aca="false">F5-F6-F8-F9-SUM('Ventas y margen'!G57:G64)</f>
        <v>1455137.54678961</v>
      </c>
      <c r="G10" s="25" t="n">
        <f aca="false">G5-G6-G8-G9-SUM('Ventas y margen'!H57:H64)</f>
        <v>1344218.64012014</v>
      </c>
      <c r="H10" s="25" t="n">
        <f aca="false">H5-H6-H8-H9-SUM('Ventas y margen'!I57:I64)</f>
        <v>1297633.56424443</v>
      </c>
      <c r="I10" s="25" t="n">
        <f aca="false">I5-I6-I8-I9-SUM('Ventas y margen'!J57:J64)</f>
        <v>1387992.17177741</v>
      </c>
      <c r="J10" s="25" t="n">
        <f aca="false">J5-J6-J8-J9-SUM('Ventas y margen'!K57:K64)</f>
        <v>1339890.08577201</v>
      </c>
      <c r="K10" s="25" t="n">
        <f aca="false">K5-K6-K8-K9-SUM('Ventas y margen'!L57:L64)</f>
        <v>1504850.71549101</v>
      </c>
      <c r="L10" s="25" t="n">
        <f aca="false">L5-L6-L8-L9-SUM('Ventas y margen'!M57:M64)</f>
        <v>1747607.5719294</v>
      </c>
      <c r="M10" s="25" t="n">
        <f aca="false">M5-M6-M8-M9-SUM('Ventas y margen'!N57:N64)</f>
        <v>1701841.31900825</v>
      </c>
      <c r="N10" s="13" t="n">
        <f aca="false">SUM(B10:M10)</f>
        <v>16359256.7009528</v>
      </c>
    </row>
    <row r="11" customFormat="false" ht="15" hidden="false" customHeight="false" outlineLevel="0" collapsed="false">
      <c r="A11" s="4" t="s">
        <v>110</v>
      </c>
      <c r="B11" s="24" t="n">
        <f aca="false">SUM('Ventas y margen'!C57:C64)</f>
        <v>5657630.17226863</v>
      </c>
      <c r="C11" s="24" t="n">
        <f aca="false">SUM('Ventas y margen'!D57:D64)</f>
        <v>5737030.79271839</v>
      </c>
      <c r="D11" s="24" t="n">
        <f aca="false">SUM('Ventas y margen'!E57:E64)</f>
        <v>6501909.38925255</v>
      </c>
      <c r="E11" s="24" t="n">
        <f aca="false">SUM('Ventas y margen'!F57:F64)</f>
        <v>6593050.01326791</v>
      </c>
      <c r="F11" s="24" t="n">
        <f aca="false">SUM('Ventas y margen'!G57:G64)</f>
        <v>7741003.97657885</v>
      </c>
      <c r="G11" s="24" t="n">
        <f aca="false">SUM('Ventas y margen'!H57:H64)</f>
        <v>7135802.26297408</v>
      </c>
      <c r="H11" s="24" t="n">
        <f aca="false">SUM('Ventas y margen'!I57:I64)</f>
        <v>6873864.27633149</v>
      </c>
      <c r="I11" s="24" t="n">
        <f aca="false">SUM('Ventas y margen'!J57:J64)</f>
        <v>7336825.74713718</v>
      </c>
      <c r="J11" s="24" t="n">
        <f aca="false">SUM('Ventas y margen'!K57:K64)</f>
        <v>7067388.42215701</v>
      </c>
      <c r="K11" s="24" t="n">
        <f aca="false">SUM('Ventas y margen'!L57:L64)</f>
        <v>7920417.53289742</v>
      </c>
      <c r="L11" s="24" t="n">
        <f aca="false">SUM('Ventas y margen'!M57:M64)</f>
        <v>9178245.99592254</v>
      </c>
      <c r="M11" s="24" t="n">
        <f aca="false">SUM('Ventas y margen'!N57:N64)</f>
        <v>8918507.51721723</v>
      </c>
      <c r="N11" s="13" t="n">
        <f aca="false">SUM(B11:M11)</f>
        <v>86661676.0987233</v>
      </c>
    </row>
    <row r="12" customFormat="false" ht="15" hidden="false" customHeight="false" outlineLevel="0" collapsed="false">
      <c r="A12" s="3" t="s">
        <v>111</v>
      </c>
      <c r="B12" s="23" t="n">
        <f aca="false">IFERROR(B11/B7,0)</f>
        <v>0.187761488096051</v>
      </c>
      <c r="C12" s="23" t="n">
        <f aca="false">IFERROR(C11/C7,0)</f>
        <v>0.187370231225424</v>
      </c>
      <c r="D12" s="23" t="n">
        <f aca="false">IFERROR(D11/D7,0)</f>
        <v>0.186978251175283</v>
      </c>
      <c r="E12" s="23" t="n">
        <f aca="false">IFERROR(E11/E7,0)</f>
        <v>0.18658554660894</v>
      </c>
      <c r="F12" s="23" t="n">
        <f aca="false">IFERROR(F11/F7,0)</f>
        <v>0.186192116187236</v>
      </c>
      <c r="G12" s="23" t="n">
        <f aca="false">IFERROR(G11/G7,0)</f>
        <v>0.185797958568535</v>
      </c>
      <c r="H12" s="23" t="n">
        <f aca="false">IFERROR(H11/H7,0)</f>
        <v>0.185403072408724</v>
      </c>
      <c r="I12" s="23" t="n">
        <f aca="false">IFERROR(I11/I7,0)</f>
        <v>0.185007456361204</v>
      </c>
      <c r="J12" s="23" t="n">
        <f aca="false">IFERROR(J11/J7,0)</f>
        <v>0.184611109076887</v>
      </c>
      <c r="K12" s="23" t="n">
        <f aca="false">IFERROR(K11/K7,0)</f>
        <v>0.184214029204192</v>
      </c>
      <c r="L12" s="23" t="n">
        <f aca="false">IFERROR(L11/L7,0)</f>
        <v>0.18381621538904</v>
      </c>
      <c r="M12" s="23" t="n">
        <f aca="false">IFERROR(M11/M7,0)</f>
        <v>0.183417666274847</v>
      </c>
      <c r="N12" s="10" t="n">
        <f aca="false">IFERROR(N11/N7,0)</f>
        <v>0.185409320172759</v>
      </c>
    </row>
    <row r="13" customFormat="false" ht="15" hidden="false" customHeight="false" outlineLevel="0" collapsed="false">
      <c r="A13" s="3" t="s">
        <v>112</v>
      </c>
      <c r="B13" s="22" t="n">
        <f aca="false">Supuestos!$E$18*(1+Supuestos!$E$12*Supuestos!$E$19)^1</f>
        <v>3048455.1252101</v>
      </c>
      <c r="C13" s="22" t="n">
        <f aca="false">Supuestos!$E$18*(1+Supuestos!$E$12*Supuestos!$E$19)^2</f>
        <v>3097692.88347325</v>
      </c>
      <c r="D13" s="22" t="n">
        <f aca="false">Supuestos!$E$18*(1+Supuestos!$E$12*Supuestos!$E$19)^3</f>
        <v>3147725.91565029</v>
      </c>
      <c r="E13" s="22" t="n">
        <f aca="false">Supuestos!$E$18*(1+Supuestos!$E$12*Supuestos!$E$19)^4</f>
        <v>3198567.0667736</v>
      </c>
      <c r="F13" s="22" t="n">
        <f aca="false">Supuestos!$E$18*(1+Supuestos!$E$12*Supuestos!$E$19)^5</f>
        <v>3250229.38934474</v>
      </c>
      <c r="G13" s="22" t="n">
        <f aca="false">Supuestos!$E$18*(1+Supuestos!$E$12*Supuestos!$E$19)^6</f>
        <v>3302726.14668549</v>
      </c>
      <c r="H13" s="22" t="n">
        <f aca="false">Supuestos!$E$18*(1+Supuestos!$E$12*Supuestos!$E$19)^7</f>
        <v>3356070.81634293</v>
      </c>
      <c r="I13" s="22" t="n">
        <f aca="false">Supuestos!$E$18*(1+Supuestos!$E$12*Supuestos!$E$19)^8</f>
        <v>3410277.09354955</v>
      </c>
      <c r="J13" s="22" t="n">
        <f aca="false">Supuestos!$E$18*(1+Supuestos!$E$12*Supuestos!$E$19)^9</f>
        <v>3465358.89473925</v>
      </c>
      <c r="K13" s="22" t="n">
        <f aca="false">Supuestos!$E$18*(1+Supuestos!$E$12*Supuestos!$E$19)^10</f>
        <v>3521330.36112009</v>
      </c>
      <c r="L13" s="22" t="n">
        <f aca="false">Supuestos!$E$18*(1+Supuestos!$E$12*Supuestos!$E$19)^11</f>
        <v>3578205.86230483</v>
      </c>
      <c r="M13" s="22" t="n">
        <f aca="false">Supuestos!$E$18*(1+Supuestos!$E$12*Supuestos!$E$19)^12</f>
        <v>3636000</v>
      </c>
      <c r="N13" s="13" t="n">
        <f aca="false">SUM(B13:M13)</f>
        <v>40012639.5551941</v>
      </c>
    </row>
    <row r="14" customFormat="false" ht="15" hidden="false" customHeight="false" outlineLevel="0" collapsed="false">
      <c r="A14" s="4" t="s">
        <v>113</v>
      </c>
      <c r="B14" s="22" t="n">
        <f aca="false">B11-B13</f>
        <v>2609175.04705852</v>
      </c>
      <c r="C14" s="22" t="n">
        <f aca="false">C11-C13</f>
        <v>2639337.90924514</v>
      </c>
      <c r="D14" s="22" t="n">
        <f aca="false">D11-D13</f>
        <v>3354183.47360226</v>
      </c>
      <c r="E14" s="22" t="n">
        <f aca="false">E11-E13</f>
        <v>3394482.94649432</v>
      </c>
      <c r="F14" s="22" t="n">
        <f aca="false">F11-F13</f>
        <v>4490774.58723411</v>
      </c>
      <c r="G14" s="22" t="n">
        <f aca="false">G11-G13</f>
        <v>3833076.11628859</v>
      </c>
      <c r="H14" s="22" t="n">
        <f aca="false">H11-H13</f>
        <v>3517793.45998856</v>
      </c>
      <c r="I14" s="22" t="n">
        <f aca="false">I11-I13</f>
        <v>3926548.65358763</v>
      </c>
      <c r="J14" s="22" t="n">
        <f aca="false">J11-J13</f>
        <v>3602029.52741776</v>
      </c>
      <c r="K14" s="22" t="n">
        <f aca="false">K11-K13</f>
        <v>4399087.17177733</v>
      </c>
      <c r="L14" s="22" t="n">
        <f aca="false">L11-L13</f>
        <v>5600040.13361771</v>
      </c>
      <c r="M14" s="22" t="n">
        <f aca="false">M11-M13</f>
        <v>5282507.51721724</v>
      </c>
      <c r="N14" s="13" t="n">
        <f aca="false">SUM(B14:M14)</f>
        <v>46649036.5435292</v>
      </c>
    </row>
    <row r="15" customFormat="false" ht="15" hidden="false" customHeight="false" outlineLevel="0" collapsed="false">
      <c r="A15" s="3" t="s">
        <v>114</v>
      </c>
      <c r="B15" s="23" t="n">
        <f aca="false">IFERROR(B14/B7,0)</f>
        <v>0.0865914834695442</v>
      </c>
      <c r="C15" s="23" t="n">
        <f aca="false">IFERROR(C14/C7,0)</f>
        <v>0.086200226598917</v>
      </c>
      <c r="D15" s="23" t="n">
        <f aca="false">IFERROR(D14/D7,0)</f>
        <v>0.0964577207199875</v>
      </c>
      <c r="E15" s="23" t="n">
        <f aca="false">IFERROR(E14/E7,0)</f>
        <v>0.0960650161536445</v>
      </c>
      <c r="F15" s="23" t="n">
        <f aca="false">IFERROR(F14/F7,0)</f>
        <v>0.108015294430389</v>
      </c>
      <c r="G15" s="23" t="n">
        <f aca="false">IFERROR(G14/G7,0)</f>
        <v>0.0998034546360041</v>
      </c>
      <c r="H15" s="23" t="n">
        <f aca="false">IFERROR(H14/H7,0)</f>
        <v>0.0948825419534285</v>
      </c>
      <c r="I15" s="23" t="n">
        <f aca="false">IFERROR(I14/I7,0)</f>
        <v>0.0990129524286732</v>
      </c>
      <c r="J15" s="23" t="n">
        <f aca="false">IFERROR(J14/J7,0)</f>
        <v>0.0940905786215914</v>
      </c>
      <c r="K15" s="23" t="n">
        <f aca="false">IFERROR(K14/K7,0)</f>
        <v>0.102314501649401</v>
      </c>
      <c r="L15" s="23" t="n">
        <f aca="false">IFERROR(L14/L7,0)</f>
        <v>0.112154128778597</v>
      </c>
      <c r="M15" s="23" t="n">
        <f aca="false">IFERROR(M14/M7,0)</f>
        <v>0.108639836768298</v>
      </c>
      <c r="N15" s="10" t="n">
        <f aca="false">IFERROR(N14/N7,0)</f>
        <v>0.099803818038287</v>
      </c>
    </row>
    <row r="16" customFormat="false" ht="15" hidden="false" customHeight="fals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customFormat="false" ht="15" hidden="false" customHeight="false" outlineLevel="0" collapsed="false">
      <c r="A17" s="2" t="s">
        <v>115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4" min="2" style="0" width="14"/>
  </cols>
  <sheetData>
    <row r="1" customFormat="false" ht="17.35" hidden="false" customHeight="false" outlineLevel="0" collapsed="false">
      <c r="A1" s="1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8" t="s">
        <v>90</v>
      </c>
      <c r="B3" s="8" t="s">
        <v>67</v>
      </c>
      <c r="C3" s="8" t="s">
        <v>69</v>
      </c>
      <c r="D3" s="8" t="s">
        <v>71</v>
      </c>
      <c r="E3" s="8" t="s">
        <v>72</v>
      </c>
      <c r="F3" s="8" t="s">
        <v>73</v>
      </c>
      <c r="G3" s="8" t="s">
        <v>75</v>
      </c>
      <c r="H3" s="8" t="s">
        <v>77</v>
      </c>
      <c r="I3" s="8" t="s">
        <v>79</v>
      </c>
      <c r="J3" s="8" t="s">
        <v>81</v>
      </c>
      <c r="K3" s="8" t="s">
        <v>82</v>
      </c>
      <c r="L3" s="8" t="s">
        <v>84</v>
      </c>
      <c r="M3" s="8" t="s">
        <v>86</v>
      </c>
      <c r="N3" s="8" t="s">
        <v>92</v>
      </c>
    </row>
    <row r="4" customFormat="false" ht="15" hidden="false" customHeight="false" outlineLevel="0" collapsed="false">
      <c r="A4" s="3" t="s">
        <v>117</v>
      </c>
      <c r="B4" s="22" t="n">
        <f aca="false">Supuestos!$E$20</f>
        <v>5000000</v>
      </c>
      <c r="C4" s="22" t="n">
        <f aca="false">B11</f>
        <v>9582036.59575225</v>
      </c>
      <c r="D4" s="22" t="n">
        <f aca="false">C11</f>
        <v>12641153.1344521</v>
      </c>
      <c r="E4" s="22" t="n">
        <f aca="false">D11</f>
        <v>18271508.3915108</v>
      </c>
      <c r="F4" s="22" t="n">
        <f aca="false">E11</f>
        <v>21518795.3414954</v>
      </c>
      <c r="G4" s="22" t="n">
        <f aca="false">F11</f>
        <v>30398454.3603735</v>
      </c>
      <c r="H4" s="22" t="n">
        <f aca="false">G11</f>
        <v>37593001.0577777</v>
      </c>
      <c r="I4" s="22" t="n">
        <f aca="false">H11</f>
        <v>42673188.8796575</v>
      </c>
      <c r="J4" s="22" t="n">
        <f aca="false">I11</f>
        <v>50071918.9220387</v>
      </c>
      <c r="K4" s="22" t="n">
        <f aca="false">J11</f>
        <v>54391359.2543536</v>
      </c>
      <c r="L4" s="22" t="n">
        <f aca="false">K11</f>
        <v>58876229.1783193</v>
      </c>
      <c r="M4" s="22" t="n">
        <f aca="false">L11</f>
        <v>68665553.3724913</v>
      </c>
      <c r="N4" s="2"/>
    </row>
    <row r="5" customFormat="false" ht="15" hidden="false" customHeight="false" outlineLevel="0" collapsed="false">
      <c r="A5" s="3" t="s">
        <v>118</v>
      </c>
      <c r="B5" s="24" t="n">
        <f aca="false">Resultado!B5</f>
        <v>36459726.5278545</v>
      </c>
      <c r="C5" s="24" t="n">
        <f aca="false">Resultado!C5</f>
        <v>37048613.3991989</v>
      </c>
      <c r="D5" s="24" t="n">
        <f aca="false">Resultado!D5</f>
        <v>42076072.0112862</v>
      </c>
      <c r="E5" s="24" t="n">
        <f aca="false">Resultado!E5</f>
        <v>42755672.4571716</v>
      </c>
      <c r="F5" s="24" t="n">
        <f aca="false">Resultado!F5</f>
        <v>50306183.7604407</v>
      </c>
      <c r="G5" s="24" t="n">
        <f aca="false">Resultado!G5</f>
        <v>46471558.701296</v>
      </c>
      <c r="H5" s="24" t="n">
        <f aca="false">Resultado!H5</f>
        <v>44861046.0781648</v>
      </c>
      <c r="I5" s="24" t="n">
        <f aca="false">Resultado!I5</f>
        <v>47984872.2243046</v>
      </c>
      <c r="J5" s="24" t="n">
        <f aca="false">Resultado!J5</f>
        <v>46321914.3938322</v>
      </c>
      <c r="K5" s="24" t="n">
        <f aca="false">Resultado!K5</f>
        <v>52024839.0212605</v>
      </c>
      <c r="L5" s="24" t="n">
        <f aca="false">Resultado!L5</f>
        <v>60417290.3438446</v>
      </c>
      <c r="M5" s="24" t="n">
        <f aca="false">Resultado!M5</f>
        <v>58835085.5999999</v>
      </c>
      <c r="N5" s="13" t="n">
        <f aca="false">SUM(B5:M5)</f>
        <v>565562874.518655</v>
      </c>
    </row>
    <row r="6" customFormat="false" ht="15" hidden="false" customHeight="false" outlineLevel="0" collapsed="false">
      <c r="A6" s="3" t="s">
        <v>108</v>
      </c>
      <c r="B6" s="24" t="n">
        <f aca="false">Resultado!B9</f>
        <v>12662335.5367305</v>
      </c>
      <c r="C6" s="24" t="n">
        <f aca="false">Resultado!C9</f>
        <v>12866853.8880254</v>
      </c>
      <c r="D6" s="24" t="n">
        <f aca="false">Resultado!D9</f>
        <v>14612872.6848104</v>
      </c>
      <c r="E6" s="24" t="n">
        <f aca="false">Resultado!E9</f>
        <v>14848895.543351</v>
      </c>
      <c r="F6" s="24" t="n">
        <f aca="false">Resultado!F9</f>
        <v>17471161.7175865</v>
      </c>
      <c r="G6" s="24" t="n">
        <f aca="false">Resultado!G9</f>
        <v>16139409.8428337</v>
      </c>
      <c r="H6" s="24" t="n">
        <f aca="false">Resultado!H9</f>
        <v>15580084.4401967</v>
      </c>
      <c r="I6" s="24" t="n">
        <f aca="false">Resultado!I9</f>
        <v>16664978.337868</v>
      </c>
      <c r="J6" s="24" t="n">
        <f aca="false">Resultado!J9</f>
        <v>16087438.8981032</v>
      </c>
      <c r="K6" s="24" t="n">
        <f aca="false">Resultado!K9</f>
        <v>18068044.6801573</v>
      </c>
      <c r="L6" s="24" t="n">
        <f aca="false">Resultado!L9</f>
        <v>20982713.6791431</v>
      </c>
      <c r="M6" s="24" t="n">
        <f aca="false">Resultado!M9</f>
        <v>20433219.504</v>
      </c>
      <c r="N6" s="13" t="n">
        <f aca="false">SUM(B6:M6)</f>
        <v>196418008.752806</v>
      </c>
    </row>
    <row r="7" customFormat="false" ht="15" hidden="false" customHeight="false" outlineLevel="0" collapsed="false">
      <c r="A7" s="3" t="s">
        <v>119</v>
      </c>
      <c r="B7" s="22" t="n">
        <f aca="false">INDEX(Resultado!$B$8:$M$8,MIN(1+Supuestos!$E$21,12))*IF(1+Supuestos!$E$21&gt;12,(1+Supuestos!$E$12)^(1+Supuestos!$E$21-12),1)*(1+Supuestos!$E$16*Supuestos!$E$17)</f>
        <v>13241211.466527</v>
      </c>
      <c r="C7" s="22" t="n">
        <f aca="false">INDEX(Resultado!$B$8:$M$8,MIN(2+Supuestos!$E$21,12))*IF(2+Supuestos!$E$21&gt;12,(1+Supuestos!$E$12)^(2+Supuestos!$E$21-12),1)*(1+Supuestos!$E$16*Supuestos!$E$17)</f>
        <v>15054523.181275</v>
      </c>
      <c r="D7" s="22" t="n">
        <f aca="false">INDEX(Resultado!$B$8:$M$8,MIN(3+Supuestos!$E$21,12))*IF(3+Supuestos!$E$21&gt;12,(1+Supuestos!$E$12)^(3+Supuestos!$E$21-12),1)*(1+Supuestos!$E$16*Supuestos!$E$17)</f>
        <v>15314469.7976617</v>
      </c>
      <c r="E7" s="22" t="n">
        <f aca="false">INDEX(Resultado!$B$8:$M$8,MIN(4+Supuestos!$E$21,12))*IF(4+Supuestos!$E$21&gt;12,(1+Supuestos!$E$12)^(4+Supuestos!$E$21-12),1)*(1+Supuestos!$E$16*Supuestos!$E$17)</f>
        <v>18038746.8388852</v>
      </c>
      <c r="F7" s="22" t="n">
        <f aca="false">INDEX(Resultado!$B$8:$M$8,MIN(5+Supuestos!$E$21,12))*IF(5+Supuestos!$E$21&gt;12,(1+Supuestos!$E$12)^(5+Supuestos!$E$21-12),1)*(1+Supuestos!$E$16*Supuestos!$E$17)</f>
        <v>16682047.4987232</v>
      </c>
      <c r="G7" s="22" t="n">
        <f aca="false">INDEX(Resultado!$B$8:$M$8,MIN(6+Supuestos!$E$21,12))*IF(6+Supuestos!$E$21&gt;12,(1+Supuestos!$E$12)^(6+Supuestos!$E$21-12),1)*(1+Supuestos!$E$16*Supuestos!$E$17)</f>
        <v>16121631.5184299</v>
      </c>
      <c r="H7" s="22" t="n">
        <f aca="false">INDEX(Resultado!$B$8:$M$8,MIN(7+Supuestos!$E$21,12))*IF(7+Supuestos!$E$21&gt;12,(1+Supuestos!$E$12)^(7+Supuestos!$E$21-12),1)*(1+Supuestos!$E$16*Supuestos!$E$17)</f>
        <v>17263218.7535977</v>
      </c>
      <c r="I7" s="22" t="n">
        <f aca="false">INDEX(Resultado!$B$8:$M$8,MIN(8+Supuestos!$E$21,12))*IF(8+Supuestos!$E$21&gt;12,(1+Supuestos!$E$12)^(8+Supuestos!$E$21-12),1)*(1+Supuestos!$E$16*Supuestos!$E$17)</f>
        <v>16683306.3325332</v>
      </c>
      <c r="J7" s="22" t="n">
        <f aca="false">INDEX(Resultado!$B$8:$M$8,MIN(9+Supuestos!$E$21,12))*IF(9+Supuestos!$E$21&gt;12,(1+Supuestos!$E$12)^(9+Supuestos!$E$21-12),1)*(1+Supuestos!$E$16*Supuestos!$E$17)</f>
        <v>18757930.3777201</v>
      </c>
      <c r="K7" s="22" t="n">
        <f aca="false">INDEX(Resultado!$B$8:$M$8,MIN(10+Supuestos!$E$21,12))*IF(10+Supuestos!$E$21&gt;12,(1+Supuestos!$E$12)^(10+Supuestos!$E$21-12),1)*(1+Supuestos!$E$16*Supuestos!$E$17)</f>
        <v>21807923.9749806</v>
      </c>
      <c r="L7" s="22" t="n">
        <f aca="false">INDEX(Resultado!$B$8:$M$8,MIN(11+Supuestos!$E$21,12))*IF(11+Supuestos!$E$21&gt;12,(1+Supuestos!$E$12)^(11+Supuestos!$E$21-12),1)*(1+Supuestos!$E$16*Supuestos!$E$17)</f>
        <v>21260267.9083271</v>
      </c>
      <c r="M7" s="22" t="n">
        <f aca="false">INDEX(Resultado!$B$8:$M$8,MIN(12+Supuestos!$E$21,12))*IF(12+Supuestos!$E$21&gt;12,(1+Supuestos!$E$12)^(12+Supuestos!$E$21-12),1)*(1+Supuestos!$E$16*Supuestos!$E$17)</f>
        <v>21603657.5561599</v>
      </c>
      <c r="N7" s="13" t="n">
        <f aca="false">SUM(B7:M7)</f>
        <v>211828935.204821</v>
      </c>
    </row>
    <row r="8" customFormat="false" ht="15" hidden="false" customHeight="false" outlineLevel="0" collapsed="false">
      <c r="A8" s="3" t="s">
        <v>109</v>
      </c>
      <c r="B8" s="24" t="n">
        <f aca="false">Resultado!B10</f>
        <v>1054620.18882223</v>
      </c>
      <c r="C8" s="24" t="n">
        <f aca="false">Resultado!C10</f>
        <v>1071654.10658839</v>
      </c>
      <c r="D8" s="24" t="n">
        <f aca="false">Resultado!D10</f>
        <v>1217076.46313638</v>
      </c>
      <c r="E8" s="24" t="n">
        <f aca="false">Resultado!E10</f>
        <v>1236734.32727356</v>
      </c>
      <c r="F8" s="24" t="n">
        <f aca="false">Resultado!F10</f>
        <v>1455137.54678961</v>
      </c>
      <c r="G8" s="24" t="n">
        <f aca="false">Resultado!G10</f>
        <v>1344218.64012014</v>
      </c>
      <c r="H8" s="24" t="n">
        <f aca="false">Resultado!H10</f>
        <v>1297633.56424443</v>
      </c>
      <c r="I8" s="24" t="n">
        <f aca="false">Resultado!I10</f>
        <v>1387992.17177741</v>
      </c>
      <c r="J8" s="24" t="n">
        <f aca="false">Resultado!J10</f>
        <v>1339890.08577201</v>
      </c>
      <c r="K8" s="24" t="n">
        <f aca="false">Resultado!K10</f>
        <v>1504850.71549101</v>
      </c>
      <c r="L8" s="24" t="n">
        <f aca="false">Resultado!L10</f>
        <v>1747607.5719294</v>
      </c>
      <c r="M8" s="24" t="n">
        <f aca="false">Resultado!M10</f>
        <v>1701841.31900825</v>
      </c>
      <c r="N8" s="13" t="n">
        <f aca="false">SUM(B8:M8)</f>
        <v>16359256.7009528</v>
      </c>
    </row>
    <row r="9" customFormat="false" ht="15" hidden="false" customHeight="false" outlineLevel="0" collapsed="false">
      <c r="A9" s="3" t="s">
        <v>112</v>
      </c>
      <c r="B9" s="24" t="n">
        <f aca="false">Resultado!B13</f>
        <v>3048455.1252101</v>
      </c>
      <c r="C9" s="24" t="n">
        <f aca="false">Resultado!C13</f>
        <v>3097692.88347325</v>
      </c>
      <c r="D9" s="24" t="n">
        <f aca="false">Resultado!D13</f>
        <v>3147725.91565029</v>
      </c>
      <c r="E9" s="24" t="n">
        <f aca="false">Resultado!E13</f>
        <v>3198567.0667736</v>
      </c>
      <c r="F9" s="24" t="n">
        <f aca="false">Resultado!F13</f>
        <v>3250229.38934474</v>
      </c>
      <c r="G9" s="24" t="n">
        <f aca="false">Resultado!G13</f>
        <v>3302726.14668549</v>
      </c>
      <c r="H9" s="24" t="n">
        <f aca="false">Resultado!H13</f>
        <v>3356070.81634293</v>
      </c>
      <c r="I9" s="24" t="n">
        <f aca="false">Resultado!I13</f>
        <v>3410277.09354955</v>
      </c>
      <c r="J9" s="24" t="n">
        <f aca="false">Resultado!J13</f>
        <v>3465358.89473925</v>
      </c>
      <c r="K9" s="24" t="n">
        <f aca="false">Resultado!K13</f>
        <v>3521330.36112009</v>
      </c>
      <c r="L9" s="24" t="n">
        <f aca="false">Resultado!L13</f>
        <v>3578205.86230483</v>
      </c>
      <c r="M9" s="24" t="n">
        <f aca="false">Resultado!M13</f>
        <v>3636000</v>
      </c>
      <c r="N9" s="13" t="n">
        <f aca="false">SUM(B9:M9)</f>
        <v>40012639.5551941</v>
      </c>
    </row>
    <row r="10" customFormat="false" ht="15" hidden="false" customHeight="false" outlineLevel="0" collapsed="false">
      <c r="A10" s="3" t="s">
        <v>120</v>
      </c>
      <c r="B10" s="22" t="n">
        <f aca="false">MAX(0,Resultado!B6-Supuestos!$E$16*Supuestos!$E$17*(Resultado!B8+Resultado!B9/(1+Supuestos!$E$17)))</f>
        <v>1871067.6148124</v>
      </c>
      <c r="C10" s="22" t="n">
        <f aca="false">MAX(0,Resultado!C6-Supuestos!$E$16*Supuestos!$E$17*(Resultado!C8+Resultado!C9/(1+Supuestos!$E$17)))</f>
        <v>1898772.801137</v>
      </c>
      <c r="D10" s="22" t="n">
        <f aca="false">MAX(0,Resultado!D6-Supuestos!$E$16*Supuestos!$E$17*(Resultado!D8+Resultado!D9/(1+Supuestos!$E$17)))</f>
        <v>2153571.89296873</v>
      </c>
      <c r="E10" s="22" t="n">
        <f aca="false">MAX(0,Resultado!E6-Supuestos!$E$16*Supuestos!$E$17*(Resultado!E8+Resultado!E9/(1+Supuestos!$E$17)))</f>
        <v>2185441.7309036</v>
      </c>
      <c r="F10" s="22" t="n">
        <f aca="false">MAX(0,Resultado!F6-Supuestos!$E$16*Supuestos!$E$17*(Resultado!F8+Resultado!F9/(1+Supuestos!$E$17)))</f>
        <v>2567948.58911859</v>
      </c>
      <c r="G10" s="22" t="n">
        <f aca="false">MAX(0,Resultado!G6-Supuestos!$E$16*Supuestos!$E$17*(Resultado!G8+Resultado!G9/(1+Supuestos!$E$17)))</f>
        <v>2369025.85582248</v>
      </c>
      <c r="H10" s="22" t="n">
        <f aca="false">MAX(0,Resultado!H6-Supuestos!$E$16*Supuestos!$E$17*(Resultado!H8+Resultado!H9/(1+Supuestos!$E$17)))</f>
        <v>2283850.68190332</v>
      </c>
      <c r="I10" s="22" t="n">
        <f aca="false">MAX(0,Resultado!I6-Supuestos!$E$16*Supuestos!$E$17*(Resultado!I8+Resultado!I9/(1+Supuestos!$E$17)))</f>
        <v>2439588.24619518</v>
      </c>
      <c r="J10" s="22" t="n">
        <f aca="false">MAX(0,Resultado!J6-Supuestos!$E$16*Supuestos!$E$17*(Resultado!J8+Resultado!J9/(1+Supuestos!$E$17)))</f>
        <v>2351855.80518274</v>
      </c>
      <c r="K10" s="22" t="n">
        <f aca="false">MAX(0,Resultado!K6-Supuestos!$E$16*Supuestos!$E$17*(Resultado!K8+Resultado!K9/(1+Supuestos!$E$17)))</f>
        <v>2637819.36554582</v>
      </c>
      <c r="L10" s="22" t="n">
        <f aca="false">MAX(0,Resultado!L6-Supuestos!$E$16*Supuestos!$E$17*(Resultado!L8+Resultado!L9/(1+Supuestos!$E$17)))</f>
        <v>3059171.12796809</v>
      </c>
      <c r="M10" s="22" t="n">
        <f aca="false">MAX(0,Resultado!M6-Supuestos!$E$16*Supuestos!$E$17*(Resultado!M8+Resultado!M9/(1+Supuestos!$E$17)))</f>
        <v>2974988.11521595</v>
      </c>
      <c r="N10" s="13" t="n">
        <f aca="false">SUM(B10:M10)</f>
        <v>28793101.8267739</v>
      </c>
    </row>
    <row r="11" customFormat="false" ht="15" hidden="false" customHeight="false" outlineLevel="0" collapsed="false">
      <c r="A11" s="4" t="s">
        <v>121</v>
      </c>
      <c r="B11" s="22" t="n">
        <f aca="false">B4+B5-B6-B7-B8-B9-B10</f>
        <v>9582036.59575225</v>
      </c>
      <c r="C11" s="22" t="n">
        <f aca="false">C4+C5-C6-C7-C8-C9-C10</f>
        <v>12641153.1344521</v>
      </c>
      <c r="D11" s="22" t="n">
        <f aca="false">D4+D5-D6-D7-D8-D9-D10</f>
        <v>18271508.3915108</v>
      </c>
      <c r="E11" s="22" t="n">
        <f aca="false">E4+E5-E6-E7-E8-E9-E10</f>
        <v>21518795.3414954</v>
      </c>
      <c r="F11" s="22" t="n">
        <f aca="false">F4+F5-F6-F7-F8-F9-F10</f>
        <v>30398454.3603735</v>
      </c>
      <c r="G11" s="22" t="n">
        <f aca="false">G4+G5-G6-G7-G8-G9-G10</f>
        <v>37593001.0577777</v>
      </c>
      <c r="H11" s="22" t="n">
        <f aca="false">H4+H5-H6-H7-H8-H9-H10</f>
        <v>42673188.8796575</v>
      </c>
      <c r="I11" s="22" t="n">
        <f aca="false">I4+I5-I6-I7-I8-I9-I10</f>
        <v>50071918.9220387</v>
      </c>
      <c r="J11" s="22" t="n">
        <f aca="false">J4+J5-J6-J7-J8-J9-J10</f>
        <v>54391359.2543536</v>
      </c>
      <c r="K11" s="22" t="n">
        <f aca="false">K4+K5-K6-K7-K8-K9-K10</f>
        <v>58876229.1783193</v>
      </c>
      <c r="L11" s="22" t="n">
        <f aca="false">L4+L5-L6-L7-L8-L9-L10</f>
        <v>68665553.3724913</v>
      </c>
      <c r="M11" s="22" t="n">
        <f aca="false">M4+M5-M6-M7-M8-M9-M10</f>
        <v>77150932.4781072</v>
      </c>
      <c r="N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customFormat="false" ht="15" hidden="false" customHeight="false" outlineLevel="0" collapsed="false">
      <c r="A13" s="2" t="s">
        <v>122</v>
      </c>
      <c r="B13" s="13" t="n">
        <f aca="false">MIN(B11:M11)</f>
        <v>9582036.59575225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customFormat="false" ht="15" hidden="false" customHeight="false" outlineLevel="0" collapsed="false">
      <c r="A14" s="2" t="s">
        <v>123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customFormat="false" ht="15" hidden="false" customHeight="false" outlineLevel="0" collapsed="false">
      <c r="A15" s="2" t="s">
        <v>124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customFormat="false" ht="15" hidden="false" customHeight="false" outlineLevel="0" collapsed="false">
      <c r="A16" s="2" t="s">
        <v>125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9" min="2" style="0" width="16"/>
    <col collapsed="false" customWidth="true" hidden="false" outlineLevel="0" max="10" min="10" style="0" width="50"/>
  </cols>
  <sheetData>
    <row r="1" customFormat="false" ht="17.35" hidden="false" customHeight="false" outlineLevel="0" collapsed="false">
      <c r="A1" s="1" t="s">
        <v>126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2" t="s">
        <v>127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</row>
    <row r="4" customFormat="false" ht="26.85" hidden="false" customHeight="false" outlineLevel="0" collapsed="false">
      <c r="A4" s="8" t="s">
        <v>64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8" t="s">
        <v>130</v>
      </c>
      <c r="I4" s="8" t="s">
        <v>131</v>
      </c>
      <c r="J4" s="8" t="s">
        <v>134</v>
      </c>
    </row>
    <row r="5" customFormat="false" ht="15" hidden="false" customHeight="false" outlineLevel="0" collapsed="false">
      <c r="A5" s="2" t="s">
        <v>67</v>
      </c>
      <c r="B5" s="24" t="n">
        <f aca="false">Resultado!B5</f>
        <v>36459726.5278545</v>
      </c>
      <c r="C5" s="12"/>
      <c r="D5" s="22" t="str">
        <f aca="false">IF(C5="","",C5-B5)</f>
        <v/>
      </c>
      <c r="E5" s="23" t="str">
        <f aca="false">IF(C5="","",IFERROR(C5/B5-1,0))</f>
        <v/>
      </c>
      <c r="F5" s="24" t="n">
        <f aca="false">Resultado!B11</f>
        <v>5657630.17226863</v>
      </c>
      <c r="G5" s="12"/>
      <c r="H5" s="22" t="str">
        <f aca="false">IF(G5="","",G5-F5)</f>
        <v/>
      </c>
      <c r="I5" s="23" t="str">
        <f aca="false">IF(G5="","",IFERROR(G5/F5-1,0))</f>
        <v/>
      </c>
      <c r="J5" s="5"/>
    </row>
    <row r="6" customFormat="false" ht="15" hidden="false" customHeight="false" outlineLevel="0" collapsed="false">
      <c r="A6" s="2" t="s">
        <v>69</v>
      </c>
      <c r="B6" s="24" t="n">
        <f aca="false">Resultado!C5</f>
        <v>37048613.3991989</v>
      </c>
      <c r="C6" s="12"/>
      <c r="D6" s="22" t="str">
        <f aca="false">IF(C6="","",C6-B6)</f>
        <v/>
      </c>
      <c r="E6" s="23" t="str">
        <f aca="false">IF(C6="","",IFERROR(C6/B6-1,0))</f>
        <v/>
      </c>
      <c r="F6" s="24" t="n">
        <f aca="false">Resultado!C11</f>
        <v>5737030.79271839</v>
      </c>
      <c r="G6" s="12"/>
      <c r="H6" s="22" t="str">
        <f aca="false">IF(G6="","",G6-F6)</f>
        <v/>
      </c>
      <c r="I6" s="23" t="str">
        <f aca="false">IF(G6="","",IFERROR(G6/F6-1,0))</f>
        <v/>
      </c>
      <c r="J6" s="5"/>
    </row>
    <row r="7" customFormat="false" ht="15" hidden="false" customHeight="false" outlineLevel="0" collapsed="false">
      <c r="A7" s="2" t="s">
        <v>71</v>
      </c>
      <c r="B7" s="24" t="n">
        <f aca="false">Resultado!D5</f>
        <v>42076072.0112862</v>
      </c>
      <c r="C7" s="12"/>
      <c r="D7" s="22" t="str">
        <f aca="false">IF(C7="","",C7-B7)</f>
        <v/>
      </c>
      <c r="E7" s="23" t="str">
        <f aca="false">IF(C7="","",IFERROR(C7/B7-1,0))</f>
        <v/>
      </c>
      <c r="F7" s="24" t="n">
        <f aca="false">Resultado!D11</f>
        <v>6501909.38925255</v>
      </c>
      <c r="G7" s="12"/>
      <c r="H7" s="22" t="str">
        <f aca="false">IF(G7="","",G7-F7)</f>
        <v/>
      </c>
      <c r="I7" s="23" t="str">
        <f aca="false">IF(G7="","",IFERROR(G7/F7-1,0))</f>
        <v/>
      </c>
      <c r="J7" s="5"/>
    </row>
    <row r="8" customFormat="false" ht="15" hidden="false" customHeight="false" outlineLevel="0" collapsed="false">
      <c r="A8" s="2" t="s">
        <v>72</v>
      </c>
      <c r="B8" s="24" t="n">
        <f aca="false">Resultado!E5</f>
        <v>42755672.4571716</v>
      </c>
      <c r="C8" s="12"/>
      <c r="D8" s="22" t="str">
        <f aca="false">IF(C8="","",C8-B8)</f>
        <v/>
      </c>
      <c r="E8" s="23" t="str">
        <f aca="false">IF(C8="","",IFERROR(C8/B8-1,0))</f>
        <v/>
      </c>
      <c r="F8" s="24" t="n">
        <f aca="false">Resultado!E11</f>
        <v>6593050.01326791</v>
      </c>
      <c r="G8" s="12"/>
      <c r="H8" s="22" t="str">
        <f aca="false">IF(G8="","",G8-F8)</f>
        <v/>
      </c>
      <c r="I8" s="23" t="str">
        <f aca="false">IF(G8="","",IFERROR(G8/F8-1,0))</f>
        <v/>
      </c>
      <c r="J8" s="5"/>
    </row>
    <row r="9" customFormat="false" ht="15" hidden="false" customHeight="false" outlineLevel="0" collapsed="false">
      <c r="A9" s="2" t="s">
        <v>73</v>
      </c>
      <c r="B9" s="24" t="n">
        <f aca="false">Resultado!F5</f>
        <v>50306183.7604407</v>
      </c>
      <c r="C9" s="12"/>
      <c r="D9" s="22" t="str">
        <f aca="false">IF(C9="","",C9-B9)</f>
        <v/>
      </c>
      <c r="E9" s="23" t="str">
        <f aca="false">IF(C9="","",IFERROR(C9/B9-1,0))</f>
        <v/>
      </c>
      <c r="F9" s="24" t="n">
        <f aca="false">Resultado!F11</f>
        <v>7741003.97657885</v>
      </c>
      <c r="G9" s="12"/>
      <c r="H9" s="22" t="str">
        <f aca="false">IF(G9="","",G9-F9)</f>
        <v/>
      </c>
      <c r="I9" s="23" t="str">
        <f aca="false">IF(G9="","",IFERROR(G9/F9-1,0))</f>
        <v/>
      </c>
      <c r="J9" s="5"/>
    </row>
    <row r="10" customFormat="false" ht="15" hidden="false" customHeight="false" outlineLevel="0" collapsed="false">
      <c r="A10" s="2" t="s">
        <v>75</v>
      </c>
      <c r="B10" s="24" t="n">
        <f aca="false">Resultado!G5</f>
        <v>46471558.701296</v>
      </c>
      <c r="C10" s="12"/>
      <c r="D10" s="22" t="str">
        <f aca="false">IF(C10="","",C10-B10)</f>
        <v/>
      </c>
      <c r="E10" s="23" t="str">
        <f aca="false">IF(C10="","",IFERROR(C10/B10-1,0))</f>
        <v/>
      </c>
      <c r="F10" s="24" t="n">
        <f aca="false">Resultado!G11</f>
        <v>7135802.26297408</v>
      </c>
      <c r="G10" s="12"/>
      <c r="H10" s="22" t="str">
        <f aca="false">IF(G10="","",G10-F10)</f>
        <v/>
      </c>
      <c r="I10" s="23" t="str">
        <f aca="false">IF(G10="","",IFERROR(G10/F10-1,0))</f>
        <v/>
      </c>
      <c r="J10" s="5"/>
    </row>
    <row r="11" customFormat="false" ht="15" hidden="false" customHeight="false" outlineLevel="0" collapsed="false">
      <c r="A11" s="2" t="s">
        <v>77</v>
      </c>
      <c r="B11" s="24" t="n">
        <f aca="false">Resultado!H5</f>
        <v>44861046.0781648</v>
      </c>
      <c r="C11" s="12"/>
      <c r="D11" s="22" t="str">
        <f aca="false">IF(C11="","",C11-B11)</f>
        <v/>
      </c>
      <c r="E11" s="23" t="str">
        <f aca="false">IF(C11="","",IFERROR(C11/B11-1,0))</f>
        <v/>
      </c>
      <c r="F11" s="24" t="n">
        <f aca="false">Resultado!H11</f>
        <v>6873864.27633149</v>
      </c>
      <c r="G11" s="12"/>
      <c r="H11" s="22" t="str">
        <f aca="false">IF(G11="","",G11-F11)</f>
        <v/>
      </c>
      <c r="I11" s="23" t="str">
        <f aca="false">IF(G11="","",IFERROR(G11/F11-1,0))</f>
        <v/>
      </c>
      <c r="J11" s="5"/>
    </row>
    <row r="12" customFormat="false" ht="15" hidden="false" customHeight="false" outlineLevel="0" collapsed="false">
      <c r="A12" s="2" t="s">
        <v>79</v>
      </c>
      <c r="B12" s="24" t="n">
        <f aca="false">Resultado!I5</f>
        <v>47984872.2243046</v>
      </c>
      <c r="C12" s="12"/>
      <c r="D12" s="22" t="str">
        <f aca="false">IF(C12="","",C12-B12)</f>
        <v/>
      </c>
      <c r="E12" s="23" t="str">
        <f aca="false">IF(C12="","",IFERROR(C12/B12-1,0))</f>
        <v/>
      </c>
      <c r="F12" s="24" t="n">
        <f aca="false">Resultado!I11</f>
        <v>7336825.74713718</v>
      </c>
      <c r="G12" s="12"/>
      <c r="H12" s="22" t="str">
        <f aca="false">IF(G12="","",G12-F12)</f>
        <v/>
      </c>
      <c r="I12" s="23" t="str">
        <f aca="false">IF(G12="","",IFERROR(G12/F12-1,0))</f>
        <v/>
      </c>
      <c r="J12" s="5"/>
    </row>
    <row r="13" customFormat="false" ht="15" hidden="false" customHeight="false" outlineLevel="0" collapsed="false">
      <c r="A13" s="2" t="s">
        <v>81</v>
      </c>
      <c r="B13" s="24" t="n">
        <f aca="false">Resultado!J5</f>
        <v>46321914.3938322</v>
      </c>
      <c r="C13" s="12"/>
      <c r="D13" s="22" t="str">
        <f aca="false">IF(C13="","",C13-B13)</f>
        <v/>
      </c>
      <c r="E13" s="23" t="str">
        <f aca="false">IF(C13="","",IFERROR(C13/B13-1,0))</f>
        <v/>
      </c>
      <c r="F13" s="24" t="n">
        <f aca="false">Resultado!J11</f>
        <v>7067388.42215701</v>
      </c>
      <c r="G13" s="12"/>
      <c r="H13" s="22" t="str">
        <f aca="false">IF(G13="","",G13-F13)</f>
        <v/>
      </c>
      <c r="I13" s="23" t="str">
        <f aca="false">IF(G13="","",IFERROR(G13/F13-1,0))</f>
        <v/>
      </c>
      <c r="J13" s="5"/>
    </row>
    <row r="14" customFormat="false" ht="15" hidden="false" customHeight="false" outlineLevel="0" collapsed="false">
      <c r="A14" s="2" t="s">
        <v>82</v>
      </c>
      <c r="B14" s="24" t="n">
        <f aca="false">Resultado!K5</f>
        <v>52024839.0212605</v>
      </c>
      <c r="C14" s="12"/>
      <c r="D14" s="22" t="str">
        <f aca="false">IF(C14="","",C14-B14)</f>
        <v/>
      </c>
      <c r="E14" s="23" t="str">
        <f aca="false">IF(C14="","",IFERROR(C14/B14-1,0))</f>
        <v/>
      </c>
      <c r="F14" s="24" t="n">
        <f aca="false">Resultado!K11</f>
        <v>7920417.53289742</v>
      </c>
      <c r="G14" s="12"/>
      <c r="H14" s="22" t="str">
        <f aca="false">IF(G14="","",G14-F14)</f>
        <v/>
      </c>
      <c r="I14" s="23" t="str">
        <f aca="false">IF(G14="","",IFERROR(G14/F14-1,0))</f>
        <v/>
      </c>
      <c r="J14" s="5"/>
    </row>
    <row r="15" customFormat="false" ht="15" hidden="false" customHeight="false" outlineLevel="0" collapsed="false">
      <c r="A15" s="2" t="s">
        <v>84</v>
      </c>
      <c r="B15" s="24" t="n">
        <f aca="false">Resultado!L5</f>
        <v>60417290.3438446</v>
      </c>
      <c r="C15" s="12"/>
      <c r="D15" s="22" t="str">
        <f aca="false">IF(C15="","",C15-B15)</f>
        <v/>
      </c>
      <c r="E15" s="23" t="str">
        <f aca="false">IF(C15="","",IFERROR(C15/B15-1,0))</f>
        <v/>
      </c>
      <c r="F15" s="24" t="n">
        <f aca="false">Resultado!L11</f>
        <v>9178245.99592254</v>
      </c>
      <c r="G15" s="12"/>
      <c r="H15" s="22" t="str">
        <f aca="false">IF(G15="","",G15-F15)</f>
        <v/>
      </c>
      <c r="I15" s="23" t="str">
        <f aca="false">IF(G15="","",IFERROR(G15/F15-1,0))</f>
        <v/>
      </c>
      <c r="J15" s="5"/>
    </row>
    <row r="16" customFormat="false" ht="15" hidden="false" customHeight="false" outlineLevel="0" collapsed="false">
      <c r="A16" s="2" t="s">
        <v>86</v>
      </c>
      <c r="B16" s="24" t="n">
        <f aca="false">Resultado!M5</f>
        <v>58835085.5999999</v>
      </c>
      <c r="C16" s="12"/>
      <c r="D16" s="22" t="str">
        <f aca="false">IF(C16="","",C16-B16)</f>
        <v/>
      </c>
      <c r="E16" s="23" t="str">
        <f aca="false">IF(C16="","",IFERROR(C16/B16-1,0))</f>
        <v/>
      </c>
      <c r="F16" s="24" t="n">
        <f aca="false">Resultado!M11</f>
        <v>8918507.51721723</v>
      </c>
      <c r="G16" s="12"/>
      <c r="H16" s="22" t="str">
        <f aca="false">IF(G16="","",G16-F16)</f>
        <v/>
      </c>
      <c r="I16" s="23" t="str">
        <f aca="false">IF(G16="","",IFERROR(G16/F16-1,0))</f>
        <v/>
      </c>
      <c r="J16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2026-10-27T23:54:31Z</dcterms:created>
  <dc:creator>openpyxl</dc:creator>
  <dc:description/>
  <dc:language>en-US</dc:language>
  <cp:lastModifiedBy/>
  <dcterms:modified xsi:type="dcterms:W3CDTF">2026-10-27T23:54:31Z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